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6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PG\Documents\Laptop Documents\SCHOOL\MIT\Spring 2016\2.77 Precision Machine Design\PUPS_9\"/>
    </mc:Choice>
  </mc:AlternateContent>
  <bookViews>
    <workbookView xWindow="480" yWindow="300" windowWidth="27795" windowHeight="12405"/>
  </bookViews>
  <sheets>
    <sheet name="Sheet1" sheetId="1" r:id="rId1"/>
    <sheet name="Sheet2" sheetId="2" r:id="rId2"/>
    <sheet name="Sheet3" sheetId="3" r:id="rId3"/>
  </sheets>
  <definedNames>
    <definedName name="c_x_1">Sheet1!$Q$4</definedName>
    <definedName name="c_x_2">Sheet1!$S$4</definedName>
    <definedName name="c_y_1">Sheet1!$R$4</definedName>
    <definedName name="c_y_2">Sheet1!$T$4</definedName>
    <definedName name="e_x_1">Sheet1!$M$4</definedName>
    <definedName name="e_x_2">Sheet1!$O$4</definedName>
    <definedName name="e_z_1">Sheet1!$N$4</definedName>
    <definedName name="e_z_2">Sheet1!$P$4</definedName>
    <definedName name="r_x_1">Sheet1!$I$4</definedName>
    <definedName name="r_x_2">Sheet1!$K$4</definedName>
    <definedName name="r_z_1">Sheet1!$J$4</definedName>
    <definedName name="r_z_2">Sheet1!$L$4</definedName>
    <definedName name="range_cx1">OFFSET(c_x_1,0,0,Sheet1!$C$12+1,1)</definedName>
    <definedName name="range_cx2">OFFSET(c_x_2,0,0,Sheet1!$C$12+1,1)</definedName>
    <definedName name="range_cy1">OFFSET(c_y_1,0,0,Sheet1!$C$12+1,1)</definedName>
    <definedName name="range_cy2">OFFSET(c_y_2,0,0,Sheet1!$C$12+1,1)</definedName>
    <definedName name="range_ex1">OFFSET(e_x_1,0,0,Sheet1!$C$12+1,1)</definedName>
    <definedName name="range_ex2">OFFSET(e_x_2,0,0,Sheet1!$C$12+1,1)</definedName>
    <definedName name="range_ez1">OFFSET(e_z_1,0,0,Sheet1!$C$12+1,1)</definedName>
    <definedName name="range_ez2">OFFSET(e_z_2,0,0,Sheet1!$C$12+1,1)</definedName>
    <definedName name="range_rx1">OFFSET(r_x_1,0,0,Sheet1!$C$12+1,1)</definedName>
    <definedName name="range_rx2">OFFSET(r_x_2,0,0,Sheet1!$C$12+1,1)</definedName>
    <definedName name="range_rz1">OFFSET(r_z_1,0,0,Sheet1!$C$12+1,1)</definedName>
    <definedName name="range_rz2">OFFSET(r_z_2,0,0,Sheet1!$C$12+1,1)</definedName>
  </definedNames>
  <calcPr calcId="162913"/>
</workbook>
</file>

<file path=xl/calcChain.xml><?xml version="1.0" encoding="utf-8"?>
<calcChain xmlns="http://schemas.openxmlformats.org/spreadsheetml/2006/main">
  <c r="C169" i="1" l="1"/>
  <c r="C170" i="1" s="1"/>
  <c r="C172" i="1" s="1"/>
  <c r="E172" i="1" s="1"/>
  <c r="C153" i="1"/>
  <c r="C154" i="1" s="1"/>
  <c r="C156" i="1" s="1"/>
  <c r="E156" i="1" s="1"/>
  <c r="C137" i="1"/>
  <c r="C138" i="1" s="1"/>
  <c r="C140" i="1" s="1"/>
  <c r="E140" i="1" s="1"/>
  <c r="C121" i="1"/>
  <c r="C122" i="1" s="1"/>
  <c r="C124" i="1" s="1"/>
  <c r="E124" i="1" s="1"/>
  <c r="C105" i="1"/>
  <c r="C106" i="1" s="1"/>
  <c r="C108" i="1" s="1"/>
  <c r="E108" i="1" s="1"/>
  <c r="R2" i="1" l="1"/>
  <c r="R69" i="1"/>
  <c r="R70" i="1" s="1"/>
  <c r="R72" i="1" s="1"/>
  <c r="T72" i="1" s="1"/>
  <c r="AM166" i="1" l="1"/>
  <c r="AC166" i="1"/>
  <c r="S166" i="1"/>
  <c r="I166" i="1"/>
  <c r="AM150" i="1"/>
  <c r="AC150" i="1"/>
  <c r="S150" i="1"/>
  <c r="I150" i="1"/>
  <c r="AM134" i="1"/>
  <c r="AC134" i="1"/>
  <c r="S134" i="1"/>
  <c r="I134" i="1"/>
  <c r="AM118" i="1"/>
  <c r="AC118" i="1"/>
  <c r="S118" i="1"/>
  <c r="I118" i="1"/>
  <c r="AM102" i="1"/>
  <c r="AC102" i="1"/>
  <c r="I102" i="1"/>
  <c r="S102" i="1"/>
  <c r="AV178" i="1"/>
  <c r="AU178" i="1"/>
  <c r="AT178" i="1"/>
  <c r="AS178" i="1"/>
  <c r="AR178" i="1"/>
  <c r="AQ178" i="1"/>
  <c r="AP178" i="1"/>
  <c r="AO178" i="1"/>
  <c r="AN178" i="1"/>
  <c r="AM178" i="1"/>
  <c r="AL178" i="1"/>
  <c r="AK178" i="1"/>
  <c r="AJ178" i="1"/>
  <c r="AI178" i="1"/>
  <c r="AH178" i="1"/>
  <c r="AG178" i="1"/>
  <c r="AF178" i="1"/>
  <c r="AE178" i="1"/>
  <c r="AD178" i="1"/>
  <c r="AC178" i="1"/>
  <c r="AB178" i="1"/>
  <c r="AA178" i="1"/>
  <c r="Z178" i="1"/>
  <c r="Y178" i="1"/>
  <c r="X178" i="1"/>
  <c r="W178" i="1"/>
  <c r="V178" i="1"/>
  <c r="U178" i="1"/>
  <c r="T178" i="1"/>
  <c r="S178" i="1"/>
  <c r="R178" i="1"/>
  <c r="Q178" i="1"/>
  <c r="P178" i="1"/>
  <c r="O178" i="1"/>
  <c r="N178" i="1"/>
  <c r="M178" i="1"/>
  <c r="L178" i="1"/>
  <c r="K178" i="1"/>
  <c r="J178" i="1"/>
  <c r="I178" i="1"/>
  <c r="AV177" i="1"/>
  <c r="AU177" i="1"/>
  <c r="AT177" i="1"/>
  <c r="AS177" i="1"/>
  <c r="AR177" i="1"/>
  <c r="AQ177" i="1"/>
  <c r="AP177" i="1"/>
  <c r="AO177" i="1"/>
  <c r="AN177" i="1"/>
  <c r="AM177" i="1"/>
  <c r="AL177" i="1"/>
  <c r="AK177" i="1"/>
  <c r="AJ177" i="1"/>
  <c r="AI177" i="1"/>
  <c r="AH177" i="1"/>
  <c r="AG177" i="1"/>
  <c r="AF177" i="1"/>
  <c r="AE177" i="1"/>
  <c r="AD177" i="1"/>
  <c r="AC177" i="1"/>
  <c r="AB177" i="1"/>
  <c r="AA177" i="1"/>
  <c r="Z177" i="1"/>
  <c r="Y177" i="1"/>
  <c r="X177" i="1"/>
  <c r="W177" i="1"/>
  <c r="V177" i="1"/>
  <c r="U177" i="1"/>
  <c r="T177" i="1"/>
  <c r="S177" i="1"/>
  <c r="R177" i="1"/>
  <c r="Q177" i="1"/>
  <c r="P177" i="1"/>
  <c r="O177" i="1"/>
  <c r="N177" i="1"/>
  <c r="M177" i="1"/>
  <c r="L177" i="1"/>
  <c r="K177" i="1"/>
  <c r="J177" i="1"/>
  <c r="I177" i="1"/>
  <c r="AV176" i="1"/>
  <c r="AU176" i="1"/>
  <c r="AT176" i="1"/>
  <c r="AS176" i="1"/>
  <c r="AR176" i="1"/>
  <c r="AQ176" i="1"/>
  <c r="AP176" i="1"/>
  <c r="AO176" i="1"/>
  <c r="AN176" i="1"/>
  <c r="AM176" i="1"/>
  <c r="AL176" i="1"/>
  <c r="AK176" i="1"/>
  <c r="AJ176" i="1"/>
  <c r="AI176" i="1"/>
  <c r="AH176" i="1"/>
  <c r="AG176" i="1"/>
  <c r="AF176" i="1"/>
  <c r="AE176" i="1"/>
  <c r="AD176" i="1"/>
  <c r="AC176" i="1"/>
  <c r="AB176" i="1"/>
  <c r="AA176" i="1"/>
  <c r="Z176" i="1"/>
  <c r="Y176" i="1"/>
  <c r="X176" i="1"/>
  <c r="W176" i="1"/>
  <c r="V176" i="1"/>
  <c r="U176" i="1"/>
  <c r="T176" i="1"/>
  <c r="S176" i="1"/>
  <c r="R176" i="1"/>
  <c r="Q176" i="1"/>
  <c r="P176" i="1"/>
  <c r="O176" i="1"/>
  <c r="N176" i="1"/>
  <c r="M176" i="1"/>
  <c r="L176" i="1"/>
  <c r="K176" i="1"/>
  <c r="J176" i="1"/>
  <c r="I176" i="1"/>
  <c r="AV175" i="1"/>
  <c r="AU175" i="1"/>
  <c r="AT175" i="1"/>
  <c r="AS175" i="1"/>
  <c r="AR175" i="1"/>
  <c r="AQ175" i="1"/>
  <c r="AP175" i="1"/>
  <c r="AO175" i="1"/>
  <c r="AN175" i="1"/>
  <c r="AM175" i="1"/>
  <c r="AL175" i="1"/>
  <c r="AK175" i="1"/>
  <c r="AJ175" i="1"/>
  <c r="AI175" i="1"/>
  <c r="AH175" i="1"/>
  <c r="AG175" i="1"/>
  <c r="AF175" i="1"/>
  <c r="AE175" i="1"/>
  <c r="AD175" i="1"/>
  <c r="AC175" i="1"/>
  <c r="AB175" i="1"/>
  <c r="AA175" i="1"/>
  <c r="Z175" i="1"/>
  <c r="Y175" i="1"/>
  <c r="X175" i="1"/>
  <c r="W175" i="1"/>
  <c r="V175" i="1"/>
  <c r="U175" i="1"/>
  <c r="T175" i="1"/>
  <c r="S175" i="1"/>
  <c r="R175" i="1"/>
  <c r="Q175" i="1"/>
  <c r="P175" i="1"/>
  <c r="O175" i="1"/>
  <c r="N175" i="1"/>
  <c r="M175" i="1"/>
  <c r="L175" i="1"/>
  <c r="K175" i="1"/>
  <c r="J175" i="1"/>
  <c r="I175" i="1"/>
  <c r="I165" i="1"/>
  <c r="AV168" i="1"/>
  <c r="AU168" i="1"/>
  <c r="AT168" i="1"/>
  <c r="AS168" i="1"/>
  <c r="AQ168" i="1"/>
  <c r="AP168" i="1"/>
  <c r="AO168" i="1"/>
  <c r="AN168" i="1"/>
  <c r="AL168" i="1"/>
  <c r="AK168" i="1"/>
  <c r="AJ168" i="1"/>
  <c r="AI168" i="1"/>
  <c r="AG168" i="1"/>
  <c r="AF168" i="1"/>
  <c r="AE168" i="1"/>
  <c r="AD168" i="1"/>
  <c r="AB168" i="1"/>
  <c r="AA168" i="1"/>
  <c r="Z168" i="1"/>
  <c r="Y168" i="1"/>
  <c r="W168" i="1"/>
  <c r="V168" i="1"/>
  <c r="U168" i="1"/>
  <c r="T168" i="1"/>
  <c r="R168" i="1"/>
  <c r="Q168" i="1"/>
  <c r="P168" i="1"/>
  <c r="O168" i="1"/>
  <c r="M168" i="1"/>
  <c r="L168" i="1"/>
  <c r="K168" i="1"/>
  <c r="J168" i="1"/>
  <c r="AV162" i="1"/>
  <c r="AU162" i="1"/>
  <c r="AT162" i="1"/>
  <c r="AS162" i="1"/>
  <c r="AR162" i="1"/>
  <c r="AQ162" i="1"/>
  <c r="AP162" i="1"/>
  <c r="AO162" i="1"/>
  <c r="AN162" i="1"/>
  <c r="AM162" i="1"/>
  <c r="AL162" i="1"/>
  <c r="AK162" i="1"/>
  <c r="AJ162" i="1"/>
  <c r="AI162" i="1"/>
  <c r="AH162" i="1"/>
  <c r="AG162" i="1"/>
  <c r="AF162" i="1"/>
  <c r="AE162" i="1"/>
  <c r="AD162" i="1"/>
  <c r="AC162" i="1"/>
  <c r="AB162" i="1"/>
  <c r="AA162" i="1"/>
  <c r="Z162" i="1"/>
  <c r="Y162" i="1"/>
  <c r="X162" i="1"/>
  <c r="W162" i="1"/>
  <c r="V162" i="1"/>
  <c r="U162" i="1"/>
  <c r="T162" i="1"/>
  <c r="S162" i="1"/>
  <c r="R162" i="1"/>
  <c r="Q162" i="1"/>
  <c r="P162" i="1"/>
  <c r="O162" i="1"/>
  <c r="N162" i="1"/>
  <c r="M162" i="1"/>
  <c r="L162" i="1"/>
  <c r="K162" i="1"/>
  <c r="J162" i="1"/>
  <c r="I162" i="1"/>
  <c r="AV161" i="1"/>
  <c r="AU161" i="1"/>
  <c r="AT161" i="1"/>
  <c r="AS161" i="1"/>
  <c r="AR161" i="1"/>
  <c r="AQ161" i="1"/>
  <c r="AP161" i="1"/>
  <c r="AO161" i="1"/>
  <c r="AN161" i="1"/>
  <c r="AM161" i="1"/>
  <c r="AL161" i="1"/>
  <c r="AK161" i="1"/>
  <c r="AJ161" i="1"/>
  <c r="AI161" i="1"/>
  <c r="AH161" i="1"/>
  <c r="AG161" i="1"/>
  <c r="AF161" i="1"/>
  <c r="AE161" i="1"/>
  <c r="AD161" i="1"/>
  <c r="AC161" i="1"/>
  <c r="AB161" i="1"/>
  <c r="AA161" i="1"/>
  <c r="Z161" i="1"/>
  <c r="Y161" i="1"/>
  <c r="X161" i="1"/>
  <c r="W161" i="1"/>
  <c r="V161" i="1"/>
  <c r="U161" i="1"/>
  <c r="T161" i="1"/>
  <c r="S161" i="1"/>
  <c r="R161" i="1"/>
  <c r="Q161" i="1"/>
  <c r="P161" i="1"/>
  <c r="O161" i="1"/>
  <c r="N161" i="1"/>
  <c r="M161" i="1"/>
  <c r="L161" i="1"/>
  <c r="K161" i="1"/>
  <c r="J161" i="1"/>
  <c r="I161" i="1"/>
  <c r="AV160" i="1"/>
  <c r="AU160" i="1"/>
  <c r="AT160" i="1"/>
  <c r="AS160" i="1"/>
  <c r="AR160" i="1"/>
  <c r="AQ160" i="1"/>
  <c r="AP160" i="1"/>
  <c r="AO160" i="1"/>
  <c r="AN160" i="1"/>
  <c r="AM160" i="1"/>
  <c r="AL160" i="1"/>
  <c r="AK160" i="1"/>
  <c r="AJ160" i="1"/>
  <c r="AI160" i="1"/>
  <c r="AH160" i="1"/>
  <c r="AG160" i="1"/>
  <c r="AF160" i="1"/>
  <c r="AE160" i="1"/>
  <c r="AD160" i="1"/>
  <c r="AC160" i="1"/>
  <c r="AB160" i="1"/>
  <c r="AA160" i="1"/>
  <c r="Z160" i="1"/>
  <c r="Y160" i="1"/>
  <c r="X160" i="1"/>
  <c r="W160" i="1"/>
  <c r="V160" i="1"/>
  <c r="U160" i="1"/>
  <c r="T160" i="1"/>
  <c r="S160" i="1"/>
  <c r="R160" i="1"/>
  <c r="Q160" i="1"/>
  <c r="P160" i="1"/>
  <c r="O160" i="1"/>
  <c r="N160" i="1"/>
  <c r="M160" i="1"/>
  <c r="L160" i="1"/>
  <c r="K160" i="1"/>
  <c r="J160" i="1"/>
  <c r="I160" i="1"/>
  <c r="AV159" i="1"/>
  <c r="AU159" i="1"/>
  <c r="AT159" i="1"/>
  <c r="AS159" i="1"/>
  <c r="AR159" i="1"/>
  <c r="AQ159" i="1"/>
  <c r="AP159" i="1"/>
  <c r="AO159" i="1"/>
  <c r="AN159" i="1"/>
  <c r="AM159" i="1"/>
  <c r="AL159" i="1"/>
  <c r="AK159" i="1"/>
  <c r="AJ159" i="1"/>
  <c r="AI159" i="1"/>
  <c r="AH159" i="1"/>
  <c r="AG159" i="1"/>
  <c r="AF159" i="1"/>
  <c r="AE159" i="1"/>
  <c r="AD159" i="1"/>
  <c r="AC159" i="1"/>
  <c r="AB159" i="1"/>
  <c r="AA159" i="1"/>
  <c r="Z159" i="1"/>
  <c r="Y159" i="1"/>
  <c r="X159" i="1"/>
  <c r="W159" i="1"/>
  <c r="V159" i="1"/>
  <c r="U159" i="1"/>
  <c r="T159" i="1"/>
  <c r="S159" i="1"/>
  <c r="R159" i="1"/>
  <c r="Q159" i="1"/>
  <c r="P159" i="1"/>
  <c r="O159" i="1"/>
  <c r="N159" i="1"/>
  <c r="M159" i="1"/>
  <c r="L159" i="1"/>
  <c r="K159" i="1"/>
  <c r="J159" i="1"/>
  <c r="I159" i="1"/>
  <c r="AV152" i="1"/>
  <c r="AU152" i="1"/>
  <c r="AT152" i="1"/>
  <c r="AS152" i="1"/>
  <c r="AQ152" i="1"/>
  <c r="AP152" i="1"/>
  <c r="AO152" i="1"/>
  <c r="AN152" i="1"/>
  <c r="AL152" i="1"/>
  <c r="AK152" i="1"/>
  <c r="AJ152" i="1"/>
  <c r="AI152" i="1"/>
  <c r="AG152" i="1"/>
  <c r="AF152" i="1"/>
  <c r="AE152" i="1"/>
  <c r="AD152" i="1"/>
  <c r="AB152" i="1"/>
  <c r="AA152" i="1"/>
  <c r="Z152" i="1"/>
  <c r="Y152" i="1"/>
  <c r="W152" i="1"/>
  <c r="V152" i="1"/>
  <c r="U152" i="1"/>
  <c r="T152" i="1"/>
  <c r="R152" i="1"/>
  <c r="Q152" i="1"/>
  <c r="P152" i="1"/>
  <c r="O152" i="1"/>
  <c r="M152" i="1"/>
  <c r="L152" i="1"/>
  <c r="K152" i="1"/>
  <c r="J152" i="1"/>
  <c r="AV146" i="1"/>
  <c r="AU146" i="1"/>
  <c r="AT146" i="1"/>
  <c r="AS146" i="1"/>
  <c r="AR146" i="1"/>
  <c r="AQ146" i="1"/>
  <c r="AP146" i="1"/>
  <c r="AO146" i="1"/>
  <c r="AN146" i="1"/>
  <c r="AM146" i="1"/>
  <c r="AL146" i="1"/>
  <c r="AK146" i="1"/>
  <c r="AJ146" i="1"/>
  <c r="AI146" i="1"/>
  <c r="AH146" i="1"/>
  <c r="AG146" i="1"/>
  <c r="AF146" i="1"/>
  <c r="AE146" i="1"/>
  <c r="AD146" i="1"/>
  <c r="AC146" i="1"/>
  <c r="AB146" i="1"/>
  <c r="AA146" i="1"/>
  <c r="Z146" i="1"/>
  <c r="Y146" i="1"/>
  <c r="X146" i="1"/>
  <c r="W146" i="1"/>
  <c r="V146" i="1"/>
  <c r="U146" i="1"/>
  <c r="T146" i="1"/>
  <c r="S146" i="1"/>
  <c r="R146" i="1"/>
  <c r="Q146" i="1"/>
  <c r="P146" i="1"/>
  <c r="O146" i="1"/>
  <c r="N146" i="1"/>
  <c r="M146" i="1"/>
  <c r="L146" i="1"/>
  <c r="K146" i="1"/>
  <c r="J146" i="1"/>
  <c r="I146" i="1"/>
  <c r="AV145" i="1"/>
  <c r="AU145" i="1"/>
  <c r="AT145" i="1"/>
  <c r="AS145" i="1"/>
  <c r="AR145" i="1"/>
  <c r="AQ145" i="1"/>
  <c r="AP145" i="1"/>
  <c r="AO145" i="1"/>
  <c r="AN145" i="1"/>
  <c r="AM145" i="1"/>
  <c r="AL145" i="1"/>
  <c r="AK145" i="1"/>
  <c r="AJ145" i="1"/>
  <c r="AI145" i="1"/>
  <c r="AH145" i="1"/>
  <c r="AG145" i="1"/>
  <c r="AF145" i="1"/>
  <c r="AE145" i="1"/>
  <c r="AD145" i="1"/>
  <c r="AC145" i="1"/>
  <c r="AB145" i="1"/>
  <c r="AA145" i="1"/>
  <c r="Z145" i="1"/>
  <c r="Y145" i="1"/>
  <c r="X145" i="1"/>
  <c r="W145" i="1"/>
  <c r="V145" i="1"/>
  <c r="U145" i="1"/>
  <c r="T145" i="1"/>
  <c r="S145" i="1"/>
  <c r="R145" i="1"/>
  <c r="Q145" i="1"/>
  <c r="P145" i="1"/>
  <c r="O145" i="1"/>
  <c r="N145" i="1"/>
  <c r="M145" i="1"/>
  <c r="L145" i="1"/>
  <c r="K145" i="1"/>
  <c r="J145" i="1"/>
  <c r="I145" i="1"/>
  <c r="AV144" i="1"/>
  <c r="AU144" i="1"/>
  <c r="AT144" i="1"/>
  <c r="AS144" i="1"/>
  <c r="AR144" i="1"/>
  <c r="AQ144" i="1"/>
  <c r="AP144" i="1"/>
  <c r="AO144" i="1"/>
  <c r="AN144" i="1"/>
  <c r="AM144" i="1"/>
  <c r="AL144" i="1"/>
  <c r="AK144" i="1"/>
  <c r="AJ144" i="1"/>
  <c r="AI144" i="1"/>
  <c r="AH144" i="1"/>
  <c r="AG144" i="1"/>
  <c r="AF144" i="1"/>
  <c r="AE144" i="1"/>
  <c r="AD144" i="1"/>
  <c r="AC144" i="1"/>
  <c r="AB144" i="1"/>
  <c r="AA144" i="1"/>
  <c r="Z144" i="1"/>
  <c r="Y144" i="1"/>
  <c r="X144" i="1"/>
  <c r="W144" i="1"/>
  <c r="V144" i="1"/>
  <c r="U144" i="1"/>
  <c r="T144" i="1"/>
  <c r="S144" i="1"/>
  <c r="R144" i="1"/>
  <c r="Q144" i="1"/>
  <c r="P144" i="1"/>
  <c r="O144" i="1"/>
  <c r="N144" i="1"/>
  <c r="M144" i="1"/>
  <c r="L144" i="1"/>
  <c r="K144" i="1"/>
  <c r="J144" i="1"/>
  <c r="I144" i="1"/>
  <c r="AV143" i="1"/>
  <c r="AU143" i="1"/>
  <c r="AT143" i="1"/>
  <c r="AS143" i="1"/>
  <c r="AR143" i="1"/>
  <c r="AQ143" i="1"/>
  <c r="AP143" i="1"/>
  <c r="AO143" i="1"/>
  <c r="AN143" i="1"/>
  <c r="AM143" i="1"/>
  <c r="AL143" i="1"/>
  <c r="AK143" i="1"/>
  <c r="AJ143" i="1"/>
  <c r="AI143" i="1"/>
  <c r="AH143" i="1"/>
  <c r="AG143" i="1"/>
  <c r="AF143" i="1"/>
  <c r="AE143" i="1"/>
  <c r="AD143" i="1"/>
  <c r="AC143" i="1"/>
  <c r="AB143" i="1"/>
  <c r="AA143" i="1"/>
  <c r="Z143" i="1"/>
  <c r="Y143" i="1"/>
  <c r="X143" i="1"/>
  <c r="W143" i="1"/>
  <c r="V143" i="1"/>
  <c r="U143" i="1"/>
  <c r="T143" i="1"/>
  <c r="S143" i="1"/>
  <c r="R143" i="1"/>
  <c r="Q143" i="1"/>
  <c r="P143" i="1"/>
  <c r="O143" i="1"/>
  <c r="N143" i="1"/>
  <c r="M143" i="1"/>
  <c r="L143" i="1"/>
  <c r="K143" i="1"/>
  <c r="J143" i="1"/>
  <c r="I143" i="1"/>
  <c r="AV136" i="1"/>
  <c r="AU136" i="1"/>
  <c r="AT136" i="1"/>
  <c r="AS136" i="1"/>
  <c r="AQ136" i="1"/>
  <c r="AP136" i="1"/>
  <c r="AO136" i="1"/>
  <c r="AN136" i="1"/>
  <c r="AL136" i="1"/>
  <c r="AK136" i="1"/>
  <c r="AJ136" i="1"/>
  <c r="AI136" i="1"/>
  <c r="AG136" i="1"/>
  <c r="AF136" i="1"/>
  <c r="AE136" i="1"/>
  <c r="AD136" i="1"/>
  <c r="AB136" i="1"/>
  <c r="AA136" i="1"/>
  <c r="Z136" i="1"/>
  <c r="Y136" i="1"/>
  <c r="W136" i="1"/>
  <c r="V136" i="1"/>
  <c r="U136" i="1"/>
  <c r="T136" i="1"/>
  <c r="R136" i="1"/>
  <c r="Q136" i="1"/>
  <c r="P136" i="1"/>
  <c r="O136" i="1"/>
  <c r="M136" i="1"/>
  <c r="L136" i="1"/>
  <c r="K136" i="1"/>
  <c r="J136" i="1"/>
  <c r="AV130" i="1"/>
  <c r="AU130" i="1"/>
  <c r="AT130" i="1"/>
  <c r="AS130" i="1"/>
  <c r="AR130" i="1"/>
  <c r="AQ130" i="1"/>
  <c r="AP130" i="1"/>
  <c r="AO130" i="1"/>
  <c r="AN130" i="1"/>
  <c r="AM130" i="1"/>
  <c r="AL130" i="1"/>
  <c r="AK130" i="1"/>
  <c r="AJ130" i="1"/>
  <c r="AI130" i="1"/>
  <c r="AH130" i="1"/>
  <c r="AG130" i="1"/>
  <c r="AF130" i="1"/>
  <c r="AE130" i="1"/>
  <c r="AD130" i="1"/>
  <c r="AC130" i="1"/>
  <c r="AB130" i="1"/>
  <c r="AA130" i="1"/>
  <c r="Z130" i="1"/>
  <c r="Y130" i="1"/>
  <c r="X130" i="1"/>
  <c r="W130" i="1"/>
  <c r="V130" i="1"/>
  <c r="U130" i="1"/>
  <c r="T130" i="1"/>
  <c r="S130" i="1"/>
  <c r="R130" i="1"/>
  <c r="Q130" i="1"/>
  <c r="P130" i="1"/>
  <c r="O130" i="1"/>
  <c r="N130" i="1"/>
  <c r="M130" i="1"/>
  <c r="L130" i="1"/>
  <c r="K130" i="1"/>
  <c r="J130" i="1"/>
  <c r="I130" i="1"/>
  <c r="AV129" i="1"/>
  <c r="AU129" i="1"/>
  <c r="AT129" i="1"/>
  <c r="AS129" i="1"/>
  <c r="AR129" i="1"/>
  <c r="AQ129" i="1"/>
  <c r="AP129" i="1"/>
  <c r="AO129" i="1"/>
  <c r="AN129" i="1"/>
  <c r="AM129" i="1"/>
  <c r="AL129" i="1"/>
  <c r="AK129" i="1"/>
  <c r="AJ129" i="1"/>
  <c r="AI129" i="1"/>
  <c r="AH129" i="1"/>
  <c r="AG129" i="1"/>
  <c r="AF129" i="1"/>
  <c r="AE129" i="1"/>
  <c r="AD129" i="1"/>
  <c r="AC129" i="1"/>
  <c r="AB129" i="1"/>
  <c r="AA129" i="1"/>
  <c r="Z129" i="1"/>
  <c r="Y129" i="1"/>
  <c r="X129" i="1"/>
  <c r="W129" i="1"/>
  <c r="V129" i="1"/>
  <c r="U129" i="1"/>
  <c r="T129" i="1"/>
  <c r="S129" i="1"/>
  <c r="R129" i="1"/>
  <c r="Q129" i="1"/>
  <c r="P129" i="1"/>
  <c r="O129" i="1"/>
  <c r="N129" i="1"/>
  <c r="M129" i="1"/>
  <c r="L129" i="1"/>
  <c r="K129" i="1"/>
  <c r="J129" i="1"/>
  <c r="I129" i="1"/>
  <c r="AV128" i="1"/>
  <c r="AU128" i="1"/>
  <c r="AT128" i="1"/>
  <c r="AS128" i="1"/>
  <c r="AR128" i="1"/>
  <c r="AQ128" i="1"/>
  <c r="AP128" i="1"/>
  <c r="AO128" i="1"/>
  <c r="AN128" i="1"/>
  <c r="AM128" i="1"/>
  <c r="AL128" i="1"/>
  <c r="AK128" i="1"/>
  <c r="AJ128" i="1"/>
  <c r="AI128" i="1"/>
  <c r="AH128" i="1"/>
  <c r="AG128" i="1"/>
  <c r="AF128" i="1"/>
  <c r="AE128" i="1"/>
  <c r="AD128" i="1"/>
  <c r="AC128" i="1"/>
  <c r="AB128" i="1"/>
  <c r="AA128" i="1"/>
  <c r="Z128" i="1"/>
  <c r="Y128" i="1"/>
  <c r="X128" i="1"/>
  <c r="W128" i="1"/>
  <c r="V128" i="1"/>
  <c r="U128" i="1"/>
  <c r="T128" i="1"/>
  <c r="S128" i="1"/>
  <c r="R128" i="1"/>
  <c r="Q128" i="1"/>
  <c r="P128" i="1"/>
  <c r="O128" i="1"/>
  <c r="N128" i="1"/>
  <c r="M128" i="1"/>
  <c r="L128" i="1"/>
  <c r="K128" i="1"/>
  <c r="J128" i="1"/>
  <c r="I128" i="1"/>
  <c r="AV127" i="1"/>
  <c r="AU127" i="1"/>
  <c r="AT127" i="1"/>
  <c r="AS127" i="1"/>
  <c r="AR127" i="1"/>
  <c r="AQ127" i="1"/>
  <c r="AP127" i="1"/>
  <c r="AO127" i="1"/>
  <c r="AN127" i="1"/>
  <c r="AM127" i="1"/>
  <c r="AL127" i="1"/>
  <c r="AK127" i="1"/>
  <c r="AJ127" i="1"/>
  <c r="AI127" i="1"/>
  <c r="AH127" i="1"/>
  <c r="AG127" i="1"/>
  <c r="AF127" i="1"/>
  <c r="AE127" i="1"/>
  <c r="AD127" i="1"/>
  <c r="AC127" i="1"/>
  <c r="AB127" i="1"/>
  <c r="AA127" i="1"/>
  <c r="Z127" i="1"/>
  <c r="Y127" i="1"/>
  <c r="X127" i="1"/>
  <c r="W127" i="1"/>
  <c r="V127" i="1"/>
  <c r="U127" i="1"/>
  <c r="T127" i="1"/>
  <c r="S127" i="1"/>
  <c r="R127" i="1"/>
  <c r="Q127" i="1"/>
  <c r="P127" i="1"/>
  <c r="O127" i="1"/>
  <c r="N127" i="1"/>
  <c r="M127" i="1"/>
  <c r="L127" i="1"/>
  <c r="K127" i="1"/>
  <c r="J127" i="1"/>
  <c r="I127" i="1"/>
  <c r="AV120" i="1"/>
  <c r="AU120" i="1"/>
  <c r="AT120" i="1"/>
  <c r="AS120" i="1"/>
  <c r="AQ120" i="1"/>
  <c r="AP120" i="1"/>
  <c r="AO120" i="1"/>
  <c r="AN120" i="1"/>
  <c r="AL120" i="1"/>
  <c r="AK120" i="1"/>
  <c r="AJ120" i="1"/>
  <c r="AI120" i="1"/>
  <c r="AG120" i="1"/>
  <c r="AF120" i="1"/>
  <c r="AE120" i="1"/>
  <c r="AD120" i="1"/>
  <c r="AB120" i="1"/>
  <c r="AA120" i="1"/>
  <c r="Z120" i="1"/>
  <c r="Y120" i="1"/>
  <c r="W120" i="1"/>
  <c r="V120" i="1"/>
  <c r="U120" i="1"/>
  <c r="T120" i="1"/>
  <c r="R120" i="1"/>
  <c r="Q120" i="1"/>
  <c r="P120" i="1"/>
  <c r="O120" i="1"/>
  <c r="M120" i="1"/>
  <c r="L120" i="1"/>
  <c r="K120" i="1"/>
  <c r="J120" i="1"/>
  <c r="AR114" i="1"/>
  <c r="AM114" i="1"/>
  <c r="AH114" i="1"/>
  <c r="AC114" i="1"/>
  <c r="X114" i="1"/>
  <c r="S114" i="1"/>
  <c r="N114" i="1"/>
  <c r="AR113" i="1"/>
  <c r="AM113" i="1"/>
  <c r="AH113" i="1"/>
  <c r="AC113" i="1"/>
  <c r="X113" i="1"/>
  <c r="S113" i="1"/>
  <c r="N113" i="1"/>
  <c r="AR112" i="1"/>
  <c r="AM112" i="1"/>
  <c r="AH112" i="1"/>
  <c r="AC112" i="1"/>
  <c r="X112" i="1"/>
  <c r="S112" i="1"/>
  <c r="N112" i="1"/>
  <c r="AR111" i="1"/>
  <c r="AM111" i="1"/>
  <c r="AH111" i="1"/>
  <c r="AC111" i="1"/>
  <c r="X111" i="1"/>
  <c r="S111" i="1"/>
  <c r="N111" i="1"/>
  <c r="I114" i="1"/>
  <c r="I113" i="1"/>
  <c r="I112" i="1"/>
  <c r="I111" i="1"/>
  <c r="AM48" i="1"/>
  <c r="AC48" i="1"/>
  <c r="S48" i="1"/>
  <c r="I48" i="1"/>
  <c r="AV114" i="1"/>
  <c r="AU114" i="1"/>
  <c r="AT114" i="1"/>
  <c r="AS114" i="1"/>
  <c r="AQ114" i="1"/>
  <c r="AP114" i="1"/>
  <c r="AO114" i="1"/>
  <c r="AN114" i="1"/>
  <c r="AL114" i="1"/>
  <c r="AK114" i="1"/>
  <c r="AJ114" i="1"/>
  <c r="AI114" i="1"/>
  <c r="AG114" i="1"/>
  <c r="AF114" i="1"/>
  <c r="AE114" i="1"/>
  <c r="AD114" i="1"/>
  <c r="AB114" i="1"/>
  <c r="AA114" i="1"/>
  <c r="Z114" i="1"/>
  <c r="Y114" i="1"/>
  <c r="W114" i="1"/>
  <c r="V114" i="1"/>
  <c r="U114" i="1"/>
  <c r="T114" i="1"/>
  <c r="R114" i="1"/>
  <c r="Q114" i="1"/>
  <c r="P114" i="1"/>
  <c r="O114" i="1"/>
  <c r="M114" i="1"/>
  <c r="L114" i="1"/>
  <c r="K114" i="1"/>
  <c r="J114" i="1"/>
  <c r="AV113" i="1"/>
  <c r="AU113" i="1"/>
  <c r="AT113" i="1"/>
  <c r="AS113" i="1"/>
  <c r="AQ113" i="1"/>
  <c r="AP113" i="1"/>
  <c r="AO113" i="1"/>
  <c r="AN113" i="1"/>
  <c r="AL113" i="1"/>
  <c r="AK113" i="1"/>
  <c r="AJ113" i="1"/>
  <c r="AI113" i="1"/>
  <c r="AG113" i="1"/>
  <c r="AF113" i="1"/>
  <c r="AE113" i="1"/>
  <c r="AD113" i="1"/>
  <c r="AB113" i="1"/>
  <c r="AA113" i="1"/>
  <c r="Z113" i="1"/>
  <c r="Y113" i="1"/>
  <c r="W113" i="1"/>
  <c r="V113" i="1"/>
  <c r="U113" i="1"/>
  <c r="T113" i="1"/>
  <c r="R113" i="1"/>
  <c r="Q113" i="1"/>
  <c r="P113" i="1"/>
  <c r="O113" i="1"/>
  <c r="M113" i="1"/>
  <c r="L113" i="1"/>
  <c r="K113" i="1"/>
  <c r="J113" i="1"/>
  <c r="AV112" i="1"/>
  <c r="AU112" i="1"/>
  <c r="AT112" i="1"/>
  <c r="AS112" i="1"/>
  <c r="AQ112" i="1"/>
  <c r="AP112" i="1"/>
  <c r="AO112" i="1"/>
  <c r="AN112" i="1"/>
  <c r="AL112" i="1"/>
  <c r="AK112" i="1"/>
  <c r="AJ112" i="1"/>
  <c r="AI112" i="1"/>
  <c r="AG112" i="1"/>
  <c r="AF112" i="1"/>
  <c r="AE112" i="1"/>
  <c r="AD112" i="1"/>
  <c r="AB112" i="1"/>
  <c r="AA112" i="1"/>
  <c r="Z112" i="1"/>
  <c r="Y112" i="1"/>
  <c r="W112" i="1"/>
  <c r="V112" i="1"/>
  <c r="U112" i="1"/>
  <c r="T112" i="1"/>
  <c r="R112" i="1"/>
  <c r="Q112" i="1"/>
  <c r="P112" i="1"/>
  <c r="O112" i="1"/>
  <c r="M112" i="1"/>
  <c r="L112" i="1"/>
  <c r="K112" i="1"/>
  <c r="J112" i="1"/>
  <c r="AV104" i="1"/>
  <c r="AU104" i="1"/>
  <c r="AT104" i="1"/>
  <c r="AS104" i="1"/>
  <c r="AQ104" i="1"/>
  <c r="AP104" i="1"/>
  <c r="AO104" i="1"/>
  <c r="AN104" i="1"/>
  <c r="AL104" i="1"/>
  <c r="AK104" i="1"/>
  <c r="AJ104" i="1"/>
  <c r="AI104" i="1"/>
  <c r="AG104" i="1"/>
  <c r="AF104" i="1"/>
  <c r="AE104" i="1"/>
  <c r="AD104" i="1"/>
  <c r="AB104" i="1"/>
  <c r="AA104" i="1"/>
  <c r="Z104" i="1"/>
  <c r="Y104" i="1"/>
  <c r="W104" i="1"/>
  <c r="V104" i="1"/>
  <c r="U104" i="1"/>
  <c r="T104" i="1"/>
  <c r="R104" i="1"/>
  <c r="Q104" i="1"/>
  <c r="P104" i="1"/>
  <c r="O104" i="1"/>
  <c r="M104" i="1"/>
  <c r="L104" i="1"/>
  <c r="K104" i="1"/>
  <c r="J104" i="1"/>
  <c r="I42" i="1"/>
  <c r="J42" i="1"/>
  <c r="K42" i="1"/>
  <c r="L42" i="1"/>
  <c r="M42" i="1"/>
  <c r="N42" i="1"/>
  <c r="O42" i="1"/>
  <c r="P42" i="1"/>
  <c r="Q42" i="1"/>
  <c r="R42" i="1"/>
  <c r="S42" i="1"/>
  <c r="T42" i="1"/>
  <c r="U42" i="1"/>
  <c r="V42" i="1"/>
  <c r="W42" i="1"/>
  <c r="X42" i="1"/>
  <c r="Y42" i="1"/>
  <c r="Z42" i="1"/>
  <c r="AA42" i="1"/>
  <c r="AB42" i="1"/>
  <c r="AC42" i="1"/>
  <c r="AD42" i="1"/>
  <c r="AE42" i="1"/>
  <c r="AF42" i="1"/>
  <c r="AG42" i="1"/>
  <c r="AH42" i="1"/>
  <c r="AI42" i="1"/>
  <c r="AJ42" i="1"/>
  <c r="AK42" i="1"/>
  <c r="AL42" i="1"/>
  <c r="AM42" i="1"/>
  <c r="AN42" i="1"/>
  <c r="AO42" i="1"/>
  <c r="AP42" i="1"/>
  <c r="AQ42" i="1"/>
  <c r="AR42" i="1"/>
  <c r="AS42" i="1"/>
  <c r="AT42" i="1"/>
  <c r="AU42" i="1"/>
  <c r="AV42" i="1"/>
  <c r="I43" i="1"/>
  <c r="J43" i="1"/>
  <c r="K43" i="1"/>
  <c r="L43" i="1"/>
  <c r="M43" i="1"/>
  <c r="N43" i="1"/>
  <c r="O43" i="1"/>
  <c r="P43" i="1"/>
  <c r="Q43" i="1"/>
  <c r="R43" i="1"/>
  <c r="S43" i="1"/>
  <c r="T43" i="1"/>
  <c r="U43" i="1"/>
  <c r="V43" i="1"/>
  <c r="W43" i="1"/>
  <c r="X43" i="1"/>
  <c r="Y43" i="1"/>
  <c r="Z43" i="1"/>
  <c r="AA43" i="1"/>
  <c r="AB43" i="1"/>
  <c r="AC43" i="1"/>
  <c r="AD43" i="1"/>
  <c r="AE43" i="1"/>
  <c r="AF43" i="1"/>
  <c r="AG43" i="1"/>
  <c r="AH43" i="1"/>
  <c r="AI43" i="1"/>
  <c r="AJ43" i="1"/>
  <c r="AK43" i="1"/>
  <c r="AL43" i="1"/>
  <c r="AM43" i="1"/>
  <c r="AN43" i="1"/>
  <c r="AO43" i="1"/>
  <c r="AP43" i="1"/>
  <c r="AQ43" i="1"/>
  <c r="AR43" i="1"/>
  <c r="AS43" i="1"/>
  <c r="AT43" i="1"/>
  <c r="AU43" i="1"/>
  <c r="AV43" i="1"/>
  <c r="I44" i="1"/>
  <c r="J44" i="1"/>
  <c r="K44" i="1"/>
  <c r="L44" i="1"/>
  <c r="M44" i="1"/>
  <c r="N44" i="1"/>
  <c r="O44" i="1"/>
  <c r="P44" i="1"/>
  <c r="Q44" i="1"/>
  <c r="R44" i="1"/>
  <c r="S44" i="1"/>
  <c r="T44" i="1"/>
  <c r="U44" i="1"/>
  <c r="V44" i="1"/>
  <c r="W44" i="1"/>
  <c r="X44" i="1"/>
  <c r="Y44" i="1"/>
  <c r="Z44" i="1"/>
  <c r="AA44" i="1"/>
  <c r="AB44" i="1"/>
  <c r="AC44" i="1"/>
  <c r="AD44" i="1"/>
  <c r="AE44" i="1"/>
  <c r="AF44" i="1"/>
  <c r="AG44" i="1"/>
  <c r="AH44" i="1"/>
  <c r="AI44" i="1"/>
  <c r="AJ44" i="1"/>
  <c r="AK44" i="1"/>
  <c r="AL44" i="1"/>
  <c r="AM44" i="1"/>
  <c r="AN44" i="1"/>
  <c r="AO44" i="1"/>
  <c r="AP44" i="1"/>
  <c r="AQ44" i="1"/>
  <c r="AR44" i="1"/>
  <c r="AS44" i="1"/>
  <c r="AT44" i="1"/>
  <c r="AU44" i="1"/>
  <c r="AV44" i="1"/>
  <c r="I45" i="1"/>
  <c r="J45" i="1"/>
  <c r="K45" i="1"/>
  <c r="L45" i="1"/>
  <c r="M45" i="1"/>
  <c r="N45" i="1"/>
  <c r="O45" i="1"/>
  <c r="P45" i="1"/>
  <c r="Q45" i="1"/>
  <c r="R45" i="1"/>
  <c r="S45" i="1"/>
  <c r="T45" i="1"/>
  <c r="U45" i="1"/>
  <c r="V45" i="1"/>
  <c r="W45" i="1"/>
  <c r="X45" i="1"/>
  <c r="Y45" i="1"/>
  <c r="Z45" i="1"/>
  <c r="AA45" i="1"/>
  <c r="AB45" i="1"/>
  <c r="AC45" i="1"/>
  <c r="AD45" i="1"/>
  <c r="AE45" i="1"/>
  <c r="AF45" i="1"/>
  <c r="AG45" i="1"/>
  <c r="AH45" i="1"/>
  <c r="AI45" i="1"/>
  <c r="AJ45" i="1"/>
  <c r="AK45" i="1"/>
  <c r="AL45" i="1"/>
  <c r="AM45" i="1"/>
  <c r="AN45" i="1"/>
  <c r="AO45" i="1"/>
  <c r="AP45" i="1"/>
  <c r="AQ45" i="1"/>
  <c r="AR45" i="1"/>
  <c r="AS45" i="1"/>
  <c r="AT45" i="1"/>
  <c r="AU45" i="1"/>
  <c r="AV45" i="1"/>
  <c r="I57" i="1"/>
  <c r="J57" i="1"/>
  <c r="K57" i="1"/>
  <c r="L57" i="1"/>
  <c r="M57" i="1"/>
  <c r="N57" i="1"/>
  <c r="O57" i="1"/>
  <c r="P57" i="1"/>
  <c r="Q57" i="1"/>
  <c r="R57" i="1"/>
  <c r="S57" i="1"/>
  <c r="T57" i="1"/>
  <c r="U57" i="1"/>
  <c r="V57" i="1"/>
  <c r="W57" i="1"/>
  <c r="X57" i="1"/>
  <c r="Y57" i="1"/>
  <c r="Z57" i="1"/>
  <c r="AA57" i="1"/>
  <c r="AB57" i="1"/>
  <c r="AC57" i="1"/>
  <c r="AD57" i="1"/>
  <c r="AE57" i="1"/>
  <c r="AF57" i="1"/>
  <c r="AG57" i="1"/>
  <c r="AH57" i="1"/>
  <c r="AI57" i="1"/>
  <c r="AJ57" i="1"/>
  <c r="AK57" i="1"/>
  <c r="AL57" i="1"/>
  <c r="AM57" i="1"/>
  <c r="AN57" i="1"/>
  <c r="AO57" i="1"/>
  <c r="AP57" i="1"/>
  <c r="AQ57" i="1"/>
  <c r="AR57" i="1"/>
  <c r="AS57" i="1"/>
  <c r="AT57" i="1"/>
  <c r="AU57" i="1"/>
  <c r="AV57" i="1"/>
  <c r="I58" i="1"/>
  <c r="J58" i="1"/>
  <c r="K58" i="1"/>
  <c r="L58" i="1"/>
  <c r="M58" i="1"/>
  <c r="N58" i="1"/>
  <c r="O58" i="1"/>
  <c r="P58" i="1"/>
  <c r="Q58" i="1"/>
  <c r="R58" i="1"/>
  <c r="S58" i="1"/>
  <c r="T58" i="1"/>
  <c r="U58" i="1"/>
  <c r="V58" i="1"/>
  <c r="W58" i="1"/>
  <c r="X58" i="1"/>
  <c r="Y58" i="1"/>
  <c r="Z58" i="1"/>
  <c r="AA58" i="1"/>
  <c r="AB58" i="1"/>
  <c r="AC58" i="1"/>
  <c r="AD58" i="1"/>
  <c r="AE58" i="1"/>
  <c r="AF58" i="1"/>
  <c r="AG58" i="1"/>
  <c r="AH58" i="1"/>
  <c r="AI58" i="1"/>
  <c r="AJ58" i="1"/>
  <c r="AK58" i="1"/>
  <c r="AL58" i="1"/>
  <c r="AM58" i="1"/>
  <c r="AN58" i="1"/>
  <c r="AO58" i="1"/>
  <c r="AP58" i="1"/>
  <c r="AQ58" i="1"/>
  <c r="AR58" i="1"/>
  <c r="AS58" i="1"/>
  <c r="AT58" i="1"/>
  <c r="AU58" i="1"/>
  <c r="AV58" i="1"/>
  <c r="I59" i="1"/>
  <c r="J59" i="1"/>
  <c r="K59" i="1"/>
  <c r="L59" i="1"/>
  <c r="M59" i="1"/>
  <c r="N59" i="1"/>
  <c r="O59" i="1"/>
  <c r="P59" i="1"/>
  <c r="Q59" i="1"/>
  <c r="R59" i="1"/>
  <c r="S59" i="1"/>
  <c r="T59" i="1"/>
  <c r="U59" i="1"/>
  <c r="V59" i="1"/>
  <c r="W59" i="1"/>
  <c r="X59" i="1"/>
  <c r="Y59" i="1"/>
  <c r="Z59" i="1"/>
  <c r="AA59" i="1"/>
  <c r="AB59" i="1"/>
  <c r="AC59" i="1"/>
  <c r="AD59" i="1"/>
  <c r="AE59" i="1"/>
  <c r="AF59" i="1"/>
  <c r="AG59" i="1"/>
  <c r="AH59" i="1"/>
  <c r="AI59" i="1"/>
  <c r="AJ59" i="1"/>
  <c r="AK59" i="1"/>
  <c r="AL59" i="1"/>
  <c r="AM59" i="1"/>
  <c r="AN59" i="1"/>
  <c r="AO59" i="1"/>
  <c r="AP59" i="1"/>
  <c r="AQ59" i="1"/>
  <c r="AR59" i="1"/>
  <c r="AS59" i="1"/>
  <c r="AT59" i="1"/>
  <c r="AU59" i="1"/>
  <c r="AV59" i="1"/>
  <c r="I60" i="1"/>
  <c r="J60" i="1"/>
  <c r="K60" i="1"/>
  <c r="L60" i="1"/>
  <c r="M60" i="1"/>
  <c r="N60" i="1"/>
  <c r="O60" i="1"/>
  <c r="P60" i="1"/>
  <c r="Q60" i="1"/>
  <c r="R60" i="1"/>
  <c r="S60" i="1"/>
  <c r="T60" i="1"/>
  <c r="U60" i="1"/>
  <c r="V60" i="1"/>
  <c r="W60" i="1"/>
  <c r="X60" i="1"/>
  <c r="Y60" i="1"/>
  <c r="Z60" i="1"/>
  <c r="AA60" i="1"/>
  <c r="AB60" i="1"/>
  <c r="AC60" i="1"/>
  <c r="AD60" i="1"/>
  <c r="AE60" i="1"/>
  <c r="AF60" i="1"/>
  <c r="AG60" i="1"/>
  <c r="AH60" i="1"/>
  <c r="AI60" i="1"/>
  <c r="AJ60" i="1"/>
  <c r="AK60" i="1"/>
  <c r="AL60" i="1"/>
  <c r="AM60" i="1"/>
  <c r="AN60" i="1"/>
  <c r="AO60" i="1"/>
  <c r="AP60" i="1"/>
  <c r="AQ60" i="1"/>
  <c r="AR60" i="1"/>
  <c r="AS60" i="1"/>
  <c r="AT60" i="1"/>
  <c r="AU60" i="1"/>
  <c r="AV60" i="1"/>
  <c r="I29" i="1"/>
  <c r="J29" i="1"/>
  <c r="K29" i="1"/>
  <c r="L29" i="1"/>
  <c r="M29" i="1"/>
  <c r="N29" i="1"/>
  <c r="O29" i="1"/>
  <c r="P29" i="1"/>
  <c r="Q29" i="1"/>
  <c r="R29" i="1"/>
  <c r="S29" i="1"/>
  <c r="T29" i="1"/>
  <c r="I28" i="1"/>
  <c r="J28" i="1"/>
  <c r="K28" i="1"/>
  <c r="L28" i="1"/>
  <c r="M28" i="1"/>
  <c r="N28" i="1"/>
  <c r="O28" i="1"/>
  <c r="P28" i="1"/>
  <c r="Q28" i="1"/>
  <c r="R28" i="1"/>
  <c r="S28" i="1"/>
  <c r="T28" i="1"/>
  <c r="I27" i="1"/>
  <c r="J27" i="1"/>
  <c r="K27" i="1"/>
  <c r="L27" i="1"/>
  <c r="M27" i="1"/>
  <c r="N27" i="1"/>
  <c r="O27" i="1"/>
  <c r="P27" i="1"/>
  <c r="Q27" i="1"/>
  <c r="R27" i="1"/>
  <c r="S27" i="1"/>
  <c r="T27" i="1"/>
  <c r="I26" i="1"/>
  <c r="J26" i="1"/>
  <c r="K26" i="1"/>
  <c r="L26" i="1"/>
  <c r="M26" i="1"/>
  <c r="N26" i="1"/>
  <c r="O26" i="1"/>
  <c r="P26" i="1"/>
  <c r="Q26" i="1"/>
  <c r="R26" i="1"/>
  <c r="S26" i="1"/>
  <c r="T26" i="1"/>
  <c r="I25" i="1"/>
  <c r="J25" i="1"/>
  <c r="K25" i="1"/>
  <c r="L25" i="1"/>
  <c r="M25" i="1"/>
  <c r="N25" i="1"/>
  <c r="O25" i="1"/>
  <c r="P25" i="1"/>
  <c r="Q25" i="1"/>
  <c r="R25" i="1"/>
  <c r="S25" i="1"/>
  <c r="T25" i="1"/>
  <c r="AV50" i="1"/>
  <c r="AU50" i="1"/>
  <c r="AT50" i="1"/>
  <c r="AS50" i="1"/>
  <c r="AQ50" i="1"/>
  <c r="AP50" i="1"/>
  <c r="AO50" i="1"/>
  <c r="AN50" i="1"/>
  <c r="AL50" i="1"/>
  <c r="AK50" i="1"/>
  <c r="AJ50" i="1"/>
  <c r="AI50" i="1"/>
  <c r="AG50" i="1"/>
  <c r="AF50" i="1"/>
  <c r="AE50" i="1"/>
  <c r="AD50" i="1"/>
  <c r="AB50" i="1"/>
  <c r="AA50" i="1"/>
  <c r="Z50" i="1"/>
  <c r="Y50" i="1"/>
  <c r="W50" i="1"/>
  <c r="V50" i="1"/>
  <c r="U50" i="1"/>
  <c r="T50" i="1"/>
  <c r="R50" i="1"/>
  <c r="Q50" i="1"/>
  <c r="P50" i="1"/>
  <c r="O50" i="1"/>
  <c r="M50" i="1"/>
  <c r="L50" i="1"/>
  <c r="K50" i="1"/>
  <c r="J50" i="1"/>
  <c r="J35" i="1"/>
  <c r="K35" i="1"/>
  <c r="I101" i="1" l="1"/>
  <c r="I117" i="1"/>
  <c r="I133" i="1"/>
  <c r="I149" i="1"/>
  <c r="I32" i="1"/>
  <c r="E41" i="1" l="1"/>
  <c r="E64" i="1" l="1"/>
  <c r="C63" i="1" l="1"/>
  <c r="C60" i="1"/>
  <c r="AV35" i="1"/>
  <c r="AU35" i="1"/>
  <c r="AT35" i="1"/>
  <c r="AS35" i="1"/>
  <c r="AQ35" i="1"/>
  <c r="AP35" i="1"/>
  <c r="AO35" i="1"/>
  <c r="AN35" i="1"/>
  <c r="AL35" i="1"/>
  <c r="AK35" i="1"/>
  <c r="AJ35" i="1"/>
  <c r="AI35" i="1"/>
  <c r="AG35" i="1"/>
  <c r="AF35" i="1"/>
  <c r="AE35" i="1"/>
  <c r="AD35" i="1"/>
  <c r="E65" i="1"/>
  <c r="C62" i="1"/>
  <c r="E62" i="1" s="1"/>
  <c r="C59" i="1"/>
  <c r="E71" i="1"/>
  <c r="E70" i="1"/>
  <c r="C61" i="1" l="1"/>
  <c r="E59" i="1"/>
  <c r="E60" i="1" l="1"/>
  <c r="L111" i="1" l="1"/>
  <c r="AJ111" i="1"/>
  <c r="AI111" i="1"/>
  <c r="K111" i="1"/>
  <c r="J111" i="1"/>
  <c r="P111" i="1"/>
  <c r="O111" i="1"/>
  <c r="Q111" i="1" s="1"/>
  <c r="Z111" i="1"/>
  <c r="Y111" i="1"/>
  <c r="AA111" i="1" s="1"/>
  <c r="AK111" i="1"/>
  <c r="AT111" i="1"/>
  <c r="AS111" i="1"/>
  <c r="AU111" i="1" s="1"/>
  <c r="AE111" i="1"/>
  <c r="AD111" i="1"/>
  <c r="AF111" i="1" s="1"/>
  <c r="E74" i="1"/>
  <c r="C74" i="1" s="1"/>
  <c r="E68" i="1"/>
  <c r="C68" i="1" s="1"/>
  <c r="E61" i="1"/>
  <c r="U111" i="1" l="1"/>
  <c r="T111" i="1"/>
  <c r="V111" i="1" s="1"/>
  <c r="AO111" i="1"/>
  <c r="AN111" i="1"/>
  <c r="AP111" i="1" s="1"/>
  <c r="AG111" i="1"/>
  <c r="AV111" i="1"/>
  <c r="M111" i="1"/>
  <c r="E72" i="1"/>
  <c r="G72" i="1" s="1"/>
  <c r="E66" i="1"/>
  <c r="G66" i="1" s="1"/>
  <c r="W111" i="1" l="1"/>
  <c r="E73" i="1"/>
  <c r="G73" i="1" s="1"/>
  <c r="E75" i="1"/>
  <c r="E69" i="1"/>
  <c r="E67" i="1"/>
  <c r="C67" i="1" s="1"/>
  <c r="G67" i="1" l="1"/>
  <c r="C73" i="1"/>
  <c r="V4" i="1" l="1"/>
  <c r="W4" i="1" s="1"/>
  <c r="R6" i="1" l="1"/>
  <c r="AB35" i="1" l="1"/>
  <c r="AA35" i="1"/>
  <c r="Z35" i="1"/>
  <c r="Y35" i="1"/>
  <c r="W35" i="1"/>
  <c r="V35" i="1"/>
  <c r="U35" i="1"/>
  <c r="T35" i="1"/>
  <c r="R35" i="1"/>
  <c r="Q35" i="1"/>
  <c r="P35" i="1"/>
  <c r="O35" i="1"/>
  <c r="L35" i="1"/>
  <c r="M35" i="1"/>
  <c r="C37" i="1" l="1"/>
  <c r="C36" i="1"/>
  <c r="E39" i="1" l="1"/>
  <c r="E33" i="1"/>
  <c r="E37" i="1"/>
  <c r="E36" i="1"/>
  <c r="C34" i="1"/>
  <c r="E34" i="1" s="1"/>
  <c r="E30" i="1"/>
  <c r="E31" i="1"/>
  <c r="R5" i="1"/>
  <c r="T5" i="1"/>
  <c r="T6" i="1"/>
  <c r="R7" i="1"/>
  <c r="T7" i="1"/>
  <c r="R8" i="1"/>
  <c r="T8" i="1"/>
  <c r="R9" i="1"/>
  <c r="T9" i="1"/>
  <c r="R10" i="1"/>
  <c r="T10" i="1"/>
  <c r="R11" i="1"/>
  <c r="T11" i="1"/>
  <c r="Q12" i="1"/>
  <c r="R12" i="1"/>
  <c r="S12" i="1"/>
  <c r="T12" i="1"/>
  <c r="Q13" i="1"/>
  <c r="R13" i="1"/>
  <c r="S13" i="1"/>
  <c r="T13" i="1"/>
  <c r="Q14" i="1"/>
  <c r="R14" i="1"/>
  <c r="S14" i="1"/>
  <c r="T14" i="1"/>
  <c r="Q15" i="1"/>
  <c r="R15" i="1"/>
  <c r="S15" i="1"/>
  <c r="T15" i="1"/>
  <c r="Q16" i="1"/>
  <c r="R16" i="1"/>
  <c r="S16" i="1"/>
  <c r="T16" i="1"/>
  <c r="Q17" i="1"/>
  <c r="R17" i="1"/>
  <c r="S17" i="1"/>
  <c r="T17" i="1"/>
  <c r="Q18" i="1"/>
  <c r="R18" i="1"/>
  <c r="S18" i="1"/>
  <c r="T18" i="1"/>
  <c r="Q19" i="1"/>
  <c r="R19" i="1"/>
  <c r="S19" i="1"/>
  <c r="T19" i="1"/>
  <c r="Q20" i="1"/>
  <c r="R20" i="1"/>
  <c r="S20" i="1"/>
  <c r="T20" i="1"/>
  <c r="Q21" i="1"/>
  <c r="R21" i="1"/>
  <c r="S21" i="1"/>
  <c r="T21" i="1"/>
  <c r="Q22" i="1"/>
  <c r="R22" i="1"/>
  <c r="S22" i="1"/>
  <c r="T22" i="1"/>
  <c r="Q23" i="1"/>
  <c r="R23" i="1"/>
  <c r="S23" i="1"/>
  <c r="T23" i="1"/>
  <c r="Q24" i="1"/>
  <c r="R24" i="1"/>
  <c r="S24" i="1"/>
  <c r="T24" i="1"/>
  <c r="T4" i="1"/>
  <c r="R4" i="1"/>
  <c r="V7" i="1" l="1"/>
  <c r="C27" i="1"/>
  <c r="I11" i="1"/>
  <c r="J11" i="1"/>
  <c r="K11" i="1"/>
  <c r="L11" i="1"/>
  <c r="M11" i="1"/>
  <c r="N11" i="1"/>
  <c r="O11" i="1"/>
  <c r="P11" i="1"/>
  <c r="I12" i="1"/>
  <c r="J12" i="1"/>
  <c r="K12" i="1"/>
  <c r="L12" i="1"/>
  <c r="M12" i="1"/>
  <c r="N12" i="1"/>
  <c r="O12" i="1"/>
  <c r="P12" i="1"/>
  <c r="I13" i="1"/>
  <c r="J13" i="1"/>
  <c r="K13" i="1"/>
  <c r="L13" i="1"/>
  <c r="M13" i="1"/>
  <c r="N13" i="1"/>
  <c r="O13" i="1"/>
  <c r="P13" i="1"/>
  <c r="I14" i="1"/>
  <c r="J14" i="1"/>
  <c r="K14" i="1"/>
  <c r="L14" i="1"/>
  <c r="M14" i="1"/>
  <c r="N14" i="1"/>
  <c r="O14" i="1"/>
  <c r="P14" i="1"/>
  <c r="I15" i="1"/>
  <c r="J15" i="1"/>
  <c r="K15" i="1"/>
  <c r="L15" i="1"/>
  <c r="M15" i="1"/>
  <c r="N15" i="1"/>
  <c r="O15" i="1"/>
  <c r="P15" i="1"/>
  <c r="I16" i="1"/>
  <c r="J16" i="1"/>
  <c r="K16" i="1"/>
  <c r="L16" i="1"/>
  <c r="M16" i="1"/>
  <c r="N16" i="1"/>
  <c r="O16" i="1"/>
  <c r="P16" i="1"/>
  <c r="I17" i="1"/>
  <c r="J17" i="1"/>
  <c r="K17" i="1"/>
  <c r="L17" i="1"/>
  <c r="M17" i="1"/>
  <c r="N17" i="1"/>
  <c r="O17" i="1"/>
  <c r="P17" i="1"/>
  <c r="I18" i="1"/>
  <c r="J18" i="1"/>
  <c r="K18" i="1"/>
  <c r="L18" i="1"/>
  <c r="M18" i="1"/>
  <c r="N18" i="1"/>
  <c r="O18" i="1"/>
  <c r="P18" i="1"/>
  <c r="I19" i="1"/>
  <c r="J19" i="1"/>
  <c r="K19" i="1"/>
  <c r="L19" i="1"/>
  <c r="M19" i="1"/>
  <c r="N19" i="1"/>
  <c r="O19" i="1"/>
  <c r="P19" i="1"/>
  <c r="I20" i="1"/>
  <c r="J20" i="1"/>
  <c r="K20" i="1"/>
  <c r="L20" i="1"/>
  <c r="M20" i="1"/>
  <c r="N20" i="1"/>
  <c r="O20" i="1"/>
  <c r="P20" i="1"/>
  <c r="I21" i="1"/>
  <c r="J21" i="1"/>
  <c r="K21" i="1"/>
  <c r="L21" i="1"/>
  <c r="M21" i="1"/>
  <c r="N21" i="1"/>
  <c r="O21" i="1"/>
  <c r="P21" i="1"/>
  <c r="I22" i="1"/>
  <c r="J22" i="1"/>
  <c r="K22" i="1"/>
  <c r="L22" i="1"/>
  <c r="M22" i="1"/>
  <c r="N22" i="1"/>
  <c r="O22" i="1"/>
  <c r="P22" i="1"/>
  <c r="I23" i="1"/>
  <c r="J23" i="1"/>
  <c r="K23" i="1"/>
  <c r="L23" i="1"/>
  <c r="M23" i="1"/>
  <c r="N23" i="1"/>
  <c r="O23" i="1"/>
  <c r="P23" i="1"/>
  <c r="I24" i="1"/>
  <c r="J24" i="1"/>
  <c r="K24" i="1"/>
  <c r="L24" i="1"/>
  <c r="M24" i="1"/>
  <c r="N24" i="1"/>
  <c r="O24" i="1"/>
  <c r="P24" i="1"/>
  <c r="C9" i="1"/>
  <c r="C10" i="1" s="1"/>
  <c r="E5" i="1"/>
  <c r="E29" i="1"/>
  <c r="E7" i="1"/>
  <c r="C6" i="1"/>
  <c r="E4" i="1"/>
  <c r="L10" i="1" l="1"/>
  <c r="E6" i="1"/>
  <c r="C40" i="1"/>
  <c r="E40" i="1" s="1"/>
  <c r="O10" i="1"/>
  <c r="K10" i="1"/>
  <c r="N10" i="1"/>
  <c r="J10" i="1"/>
  <c r="M10" i="1"/>
  <c r="I10" i="1"/>
  <c r="P10" i="1"/>
  <c r="K5" i="1"/>
  <c r="O5" i="1"/>
  <c r="K6" i="1"/>
  <c r="O6" i="1"/>
  <c r="K7" i="1"/>
  <c r="O7" i="1"/>
  <c r="K8" i="1"/>
  <c r="O8" i="1"/>
  <c r="K9" i="1"/>
  <c r="O9" i="1"/>
  <c r="N4" i="1"/>
  <c r="J4" i="1"/>
  <c r="J7" i="1"/>
  <c r="J9" i="1"/>
  <c r="L5" i="1"/>
  <c r="P5" i="1"/>
  <c r="L6" i="1"/>
  <c r="P6" i="1"/>
  <c r="L7" i="1"/>
  <c r="P7" i="1"/>
  <c r="L8" i="1"/>
  <c r="P8" i="1"/>
  <c r="L9" i="1"/>
  <c r="P9" i="1"/>
  <c r="M4" i="1"/>
  <c r="I4" i="1"/>
  <c r="M7" i="1"/>
  <c r="I9" i="1"/>
  <c r="P4" i="1"/>
  <c r="J5" i="1"/>
  <c r="J6" i="1"/>
  <c r="N6" i="1"/>
  <c r="N7" i="1"/>
  <c r="N8" i="1"/>
  <c r="O4" i="1"/>
  <c r="I5" i="1"/>
  <c r="M5" i="1"/>
  <c r="I6" i="1"/>
  <c r="M6" i="1"/>
  <c r="I7" i="1"/>
  <c r="I8" i="1"/>
  <c r="M8" i="1"/>
  <c r="M9" i="1"/>
  <c r="L4" i="1"/>
  <c r="N5" i="1"/>
  <c r="J8" i="1"/>
  <c r="N9" i="1"/>
  <c r="K4" i="1"/>
  <c r="C22" i="1"/>
  <c r="E22" i="1" s="1"/>
  <c r="C20" i="1"/>
  <c r="C21" i="1"/>
  <c r="E21" i="1" s="1"/>
  <c r="C16" i="1"/>
  <c r="E16" i="1" s="1"/>
  <c r="C17" i="1"/>
  <c r="C19" i="1"/>
  <c r="E19" i="1" s="1"/>
  <c r="C15" i="1"/>
  <c r="E15" i="1" s="1"/>
  <c r="E10" i="1"/>
  <c r="C14" i="1"/>
  <c r="E14" i="1" s="1"/>
  <c r="E9" i="1"/>
  <c r="C25" i="1" l="1"/>
  <c r="E25" i="1" s="1"/>
  <c r="C44" i="1"/>
  <c r="C46" i="1"/>
  <c r="C42" i="1"/>
  <c r="E42" i="1" s="1"/>
  <c r="E17" i="1"/>
  <c r="T2" i="1"/>
  <c r="E20" i="1"/>
  <c r="C24" i="1"/>
  <c r="E24" i="1" s="1"/>
  <c r="C26" i="1"/>
  <c r="I142" i="1" l="1"/>
  <c r="AC139" i="1"/>
  <c r="I174" i="1"/>
  <c r="AC168" i="1"/>
  <c r="AC172" i="1"/>
  <c r="I168" i="1"/>
  <c r="I172" i="1"/>
  <c r="AC173" i="1"/>
  <c r="I173" i="1"/>
  <c r="I109" i="1"/>
  <c r="I123" i="1"/>
  <c r="I108" i="1"/>
  <c r="AC120" i="1"/>
  <c r="AC142" i="1"/>
  <c r="AC105" i="1"/>
  <c r="I120" i="1"/>
  <c r="I140" i="1"/>
  <c r="AC122" i="1"/>
  <c r="AC158" i="1"/>
  <c r="I156" i="1"/>
  <c r="I121" i="1"/>
  <c r="I158" i="1"/>
  <c r="AC156" i="1"/>
  <c r="AC109" i="1"/>
  <c r="AC121" i="1"/>
  <c r="AC171" i="1"/>
  <c r="I169" i="1"/>
  <c r="AC104" i="1"/>
  <c r="I126" i="1"/>
  <c r="AC140" i="1"/>
  <c r="AC137" i="1"/>
  <c r="AC153" i="1"/>
  <c r="I106" i="1"/>
  <c r="I104" i="1"/>
  <c r="I137" i="1"/>
  <c r="I138" i="1"/>
  <c r="AC141" i="1"/>
  <c r="I152" i="1"/>
  <c r="I141" i="1"/>
  <c r="AC154" i="1"/>
  <c r="I105" i="1"/>
  <c r="AC124" i="1"/>
  <c r="I154" i="1"/>
  <c r="AC169" i="1"/>
  <c r="I122" i="1"/>
  <c r="I155" i="1"/>
  <c r="AC123" i="1"/>
  <c r="I153" i="1"/>
  <c r="AC174" i="1"/>
  <c r="I170" i="1"/>
  <c r="AC170" i="1"/>
  <c r="I110" i="1"/>
  <c r="AC110" i="1"/>
  <c r="AC107" i="1"/>
  <c r="I124" i="1"/>
  <c r="AC138" i="1"/>
  <c r="AC152" i="1"/>
  <c r="AC125" i="1"/>
  <c r="AC136" i="1"/>
  <c r="I136" i="1"/>
  <c r="AC155" i="1"/>
  <c r="AC126" i="1"/>
  <c r="I107" i="1"/>
  <c r="I157" i="1"/>
  <c r="I171" i="1"/>
  <c r="I125" i="1"/>
  <c r="AC108" i="1"/>
  <c r="AC106" i="1"/>
  <c r="AC157" i="1"/>
  <c r="I139" i="1"/>
  <c r="AD137" i="1"/>
  <c r="AF137" i="1" s="1"/>
  <c r="AD105" i="1"/>
  <c r="AF105" i="1" s="1"/>
  <c r="AE153" i="1"/>
  <c r="AG153" i="1" s="1"/>
  <c r="J169" i="1"/>
  <c r="L169" i="1" s="1"/>
  <c r="O121" i="1"/>
  <c r="Q121" i="1" s="1"/>
  <c r="K105" i="1"/>
  <c r="M105" i="1" s="1"/>
  <c r="O153" i="1"/>
  <c r="Q153" i="1" s="1"/>
  <c r="J137" i="1"/>
  <c r="L137" i="1" s="1"/>
  <c r="K153" i="1"/>
  <c r="M153" i="1" s="1"/>
  <c r="AE169" i="1"/>
  <c r="AD170" i="1" s="1"/>
  <c r="AD121" i="1"/>
  <c r="AF121" i="1" s="1"/>
  <c r="J121" i="1"/>
  <c r="L121" i="1" s="1"/>
  <c r="O169" i="1"/>
  <c r="Q169" i="1" s="1"/>
  <c r="J105" i="1"/>
  <c r="L105" i="1" s="1"/>
  <c r="O137" i="1"/>
  <c r="Q137" i="1" s="1"/>
  <c r="K137" i="1"/>
  <c r="M137" i="1" s="1"/>
  <c r="J153" i="1"/>
  <c r="L153" i="1" s="1"/>
  <c r="AD169" i="1"/>
  <c r="AF169" i="1" s="1"/>
  <c r="AE121" i="1"/>
  <c r="AG121" i="1" s="1"/>
  <c r="AD153" i="1"/>
  <c r="AF153" i="1" s="1"/>
  <c r="AD154" i="1"/>
  <c r="P169" i="1"/>
  <c r="R169" i="1" s="1"/>
  <c r="P121" i="1"/>
  <c r="R121" i="1" s="1"/>
  <c r="P105" i="1"/>
  <c r="R105" i="1" s="1"/>
  <c r="O105" i="1"/>
  <c r="Q105" i="1" s="1"/>
  <c r="AE105" i="1"/>
  <c r="AG105" i="1" s="1"/>
  <c r="AE137" i="1"/>
  <c r="AG137" i="1" s="1"/>
  <c r="K121" i="1"/>
  <c r="J122" i="1" s="1"/>
  <c r="L122" i="1" s="1"/>
  <c r="K169" i="1"/>
  <c r="M169" i="1" s="1"/>
  <c r="P153" i="1"/>
  <c r="R153" i="1" s="1"/>
  <c r="P137" i="1"/>
  <c r="R137" i="1" s="1"/>
  <c r="J154" i="1"/>
  <c r="J106" i="1"/>
  <c r="L106" i="1" s="1"/>
  <c r="K154" i="1"/>
  <c r="J155" i="1" s="1"/>
  <c r="AM169" i="1"/>
  <c r="S169" i="1"/>
  <c r="AM105" i="1"/>
  <c r="AM137" i="1"/>
  <c r="S171" i="1"/>
  <c r="S170" i="1"/>
  <c r="S174" i="1"/>
  <c r="S168" i="1"/>
  <c r="AM104" i="1"/>
  <c r="AM106" i="1"/>
  <c r="S106" i="1"/>
  <c r="S107" i="1"/>
  <c r="AM125" i="1"/>
  <c r="S158" i="1"/>
  <c r="AM138" i="1"/>
  <c r="AM155" i="1"/>
  <c r="S155" i="1"/>
  <c r="S122" i="1"/>
  <c r="S142" i="1"/>
  <c r="AM157" i="1"/>
  <c r="AM120" i="1"/>
  <c r="AM173" i="1"/>
  <c r="AM121" i="1"/>
  <c r="AM140" i="1"/>
  <c r="AM172" i="1"/>
  <c r="AM171" i="1"/>
  <c r="AM126" i="1"/>
  <c r="AM109" i="1"/>
  <c r="AM123" i="1"/>
  <c r="S157" i="1"/>
  <c r="S152" i="1"/>
  <c r="S125" i="1"/>
  <c r="S121" i="1"/>
  <c r="S126" i="1"/>
  <c r="S140" i="1"/>
  <c r="S124" i="1"/>
  <c r="AM139" i="1"/>
  <c r="S138" i="1"/>
  <c r="AM152" i="1"/>
  <c r="S153" i="1"/>
  <c r="AM141" i="1"/>
  <c r="AM153" i="1"/>
  <c r="AM108" i="1"/>
  <c r="S108" i="1"/>
  <c r="AM136" i="1"/>
  <c r="S105" i="1"/>
  <c r="AM107" i="1"/>
  <c r="S172" i="1"/>
  <c r="S173" i="1"/>
  <c r="AM124" i="1"/>
  <c r="AM110" i="1"/>
  <c r="S141" i="1"/>
  <c r="S154" i="1"/>
  <c r="S110" i="1"/>
  <c r="S109" i="1"/>
  <c r="S123" i="1"/>
  <c r="AM142" i="1"/>
  <c r="S136" i="1"/>
  <c r="S137" i="1"/>
  <c r="AM158" i="1"/>
  <c r="S104" i="1"/>
  <c r="S156" i="1"/>
  <c r="AM174" i="1"/>
  <c r="AM170" i="1"/>
  <c r="AM168" i="1"/>
  <c r="AM122" i="1"/>
  <c r="S120" i="1"/>
  <c r="S139" i="1"/>
  <c r="AM156" i="1"/>
  <c r="AM154" i="1"/>
  <c r="AO137" i="1"/>
  <c r="AQ137" i="1" s="1"/>
  <c r="AN137" i="1"/>
  <c r="AP137" i="1" s="1"/>
  <c r="U169" i="1"/>
  <c r="W169" i="1" s="1"/>
  <c r="T137" i="1"/>
  <c r="V137" i="1" s="1"/>
  <c r="T153" i="1"/>
  <c r="V153" i="1" s="1"/>
  <c r="AN169" i="1"/>
  <c r="AP169" i="1" s="1"/>
  <c r="AO121" i="1"/>
  <c r="AQ121" i="1" s="1"/>
  <c r="AN121" i="1"/>
  <c r="AP121" i="1" s="1"/>
  <c r="T169" i="1"/>
  <c r="V169" i="1" s="1"/>
  <c r="U137" i="1"/>
  <c r="T138" i="1" s="1"/>
  <c r="AO138" i="1"/>
  <c r="AO139" i="1" s="1"/>
  <c r="AN105" i="1"/>
  <c r="AP105" i="1" s="1"/>
  <c r="AO105" i="1"/>
  <c r="AQ105" i="1" s="1"/>
  <c r="AN153" i="1"/>
  <c r="AP153" i="1" s="1"/>
  <c r="AN138" i="1"/>
  <c r="T121" i="1"/>
  <c r="V121" i="1" s="1"/>
  <c r="U121" i="1"/>
  <c r="W121" i="1" s="1"/>
  <c r="U105" i="1"/>
  <c r="W105" i="1" s="1"/>
  <c r="T170" i="1"/>
  <c r="U153" i="1"/>
  <c r="W153" i="1" s="1"/>
  <c r="AO169" i="1"/>
  <c r="AQ169" i="1" s="1"/>
  <c r="AO153" i="1"/>
  <c r="AQ153" i="1" s="1"/>
  <c r="AN139" i="1"/>
  <c r="T105" i="1"/>
  <c r="V105" i="1" s="1"/>
  <c r="S56" i="1"/>
  <c r="AM54" i="1"/>
  <c r="S51" i="1"/>
  <c r="S53" i="1"/>
  <c r="AM41" i="1"/>
  <c r="S37" i="1"/>
  <c r="AM39" i="1"/>
  <c r="AM36" i="1"/>
  <c r="AM52" i="1"/>
  <c r="S38" i="1"/>
  <c r="S50" i="1"/>
  <c r="AM56" i="1"/>
  <c r="AM53" i="1"/>
  <c r="S55" i="1"/>
  <c r="S36" i="1"/>
  <c r="S40" i="1"/>
  <c r="AM37" i="1"/>
  <c r="S39" i="1"/>
  <c r="S54" i="1"/>
  <c r="AM40" i="1"/>
  <c r="S52" i="1"/>
  <c r="AM50" i="1"/>
  <c r="AM55" i="1"/>
  <c r="AM35" i="1"/>
  <c r="S35" i="1"/>
  <c r="S41" i="1"/>
  <c r="AM51" i="1"/>
  <c r="AM38" i="1"/>
  <c r="AN51" i="1"/>
  <c r="AP51" i="1" s="1"/>
  <c r="AN36" i="1"/>
  <c r="AO36" i="1"/>
  <c r="AN37" i="1" s="1"/>
  <c r="T51" i="1"/>
  <c r="V51" i="1" s="1"/>
  <c r="AO51" i="1"/>
  <c r="AQ51" i="1" s="1"/>
  <c r="T36" i="1"/>
  <c r="V36" i="1" s="1"/>
  <c r="U36" i="1"/>
  <c r="W36" i="1" s="1"/>
  <c r="U51" i="1"/>
  <c r="W51" i="1" s="1"/>
  <c r="T52" i="1"/>
  <c r="V52" i="1" s="1"/>
  <c r="AN52" i="1"/>
  <c r="AP52" i="1" s="1"/>
  <c r="I52" i="1"/>
  <c r="AC54" i="1"/>
  <c r="AC50" i="1"/>
  <c r="I53" i="1"/>
  <c r="I41" i="1"/>
  <c r="AC36" i="1"/>
  <c r="I37" i="1"/>
  <c r="AC55" i="1"/>
  <c r="I56" i="1"/>
  <c r="AC35" i="1"/>
  <c r="I50" i="1"/>
  <c r="AC53" i="1"/>
  <c r="I39" i="1"/>
  <c r="I35" i="1"/>
  <c r="AC37" i="1"/>
  <c r="AC40" i="1"/>
  <c r="I40" i="1"/>
  <c r="I55" i="1"/>
  <c r="AC51" i="1"/>
  <c r="AC38" i="1"/>
  <c r="AC56" i="1"/>
  <c r="AC52" i="1"/>
  <c r="I54" i="1"/>
  <c r="AC39" i="1"/>
  <c r="I36" i="1"/>
  <c r="I38" i="1"/>
  <c r="I51" i="1"/>
  <c r="AC41" i="1"/>
  <c r="AD51" i="1"/>
  <c r="AF51" i="1" s="1"/>
  <c r="AD36" i="1"/>
  <c r="O51" i="1"/>
  <c r="Q51" i="1" s="1"/>
  <c r="J36" i="1"/>
  <c r="L36" i="1" s="1"/>
  <c r="J51" i="1"/>
  <c r="L51" i="1" s="1"/>
  <c r="P36" i="1"/>
  <c r="AE51" i="1"/>
  <c r="AD52" i="1" s="1"/>
  <c r="P51" i="1"/>
  <c r="R51" i="1" s="1"/>
  <c r="K51" i="1"/>
  <c r="M51" i="1" s="1"/>
  <c r="K36" i="1"/>
  <c r="M36" i="1" s="1"/>
  <c r="O36" i="1"/>
  <c r="AE36" i="1"/>
  <c r="AD37" i="1" s="1"/>
  <c r="E46" i="1"/>
  <c r="E44" i="1"/>
  <c r="C45" i="1"/>
  <c r="C47" i="1"/>
  <c r="S11" i="1"/>
  <c r="Q11" i="1"/>
  <c r="Q6" i="1"/>
  <c r="Q9" i="1"/>
  <c r="S5" i="1"/>
  <c r="S6" i="1"/>
  <c r="S7" i="1"/>
  <c r="S8" i="1"/>
  <c r="S9" i="1"/>
  <c r="S10" i="1"/>
  <c r="Q5" i="1"/>
  <c r="Q7" i="1"/>
  <c r="Q8" i="1"/>
  <c r="Q10" i="1"/>
  <c r="Q4" i="1"/>
  <c r="S4" i="1"/>
  <c r="L154" i="1" l="1"/>
  <c r="AE154" i="1"/>
  <c r="AD155" i="1" s="1"/>
  <c r="AN122" i="1"/>
  <c r="T122" i="1"/>
  <c r="V122" i="1" s="1"/>
  <c r="U106" i="1"/>
  <c r="T106" i="1"/>
  <c r="K106" i="1"/>
  <c r="V170" i="1"/>
  <c r="L155" i="1"/>
  <c r="V138" i="1"/>
  <c r="AE138" i="1"/>
  <c r="AE139" i="1" s="1"/>
  <c r="AE140" i="1" s="1"/>
  <c r="AF170" i="1"/>
  <c r="T154" i="1"/>
  <c r="V154" i="1" s="1"/>
  <c r="AO106" i="1"/>
  <c r="AN170" i="1"/>
  <c r="AP170" i="1" s="1"/>
  <c r="U154" i="1"/>
  <c r="W154" i="1" s="1"/>
  <c r="AF52" i="1"/>
  <c r="AN106" i="1"/>
  <c r="AP106" i="1" s="1"/>
  <c r="K170" i="1"/>
  <c r="M170" i="1" s="1"/>
  <c r="AO140" i="1"/>
  <c r="AN141" i="1" s="1"/>
  <c r="AN140" i="1"/>
  <c r="AO154" i="1"/>
  <c r="AO52" i="1"/>
  <c r="AN154" i="1"/>
  <c r="AP154" i="1" s="1"/>
  <c r="AO122" i="1"/>
  <c r="AQ122" i="1" s="1"/>
  <c r="W106" i="1"/>
  <c r="AQ106" i="1"/>
  <c r="U170" i="1"/>
  <c r="W170" i="1" s="1"/>
  <c r="AP122" i="1"/>
  <c r="AP138" i="1"/>
  <c r="K155" i="1"/>
  <c r="AF154" i="1"/>
  <c r="AF155" i="1" s="1"/>
  <c r="J170" i="1"/>
  <c r="L170" i="1" s="1"/>
  <c r="AE106" i="1"/>
  <c r="AG154" i="1"/>
  <c r="AD122" i="1"/>
  <c r="AF122" i="1" s="1"/>
  <c r="X173" i="1"/>
  <c r="X123" i="1"/>
  <c r="X168" i="1"/>
  <c r="AR174" i="1"/>
  <c r="X107" i="1"/>
  <c r="X125" i="1"/>
  <c r="X122" i="1"/>
  <c r="AR142" i="1"/>
  <c r="AR140" i="1"/>
  <c r="AR154" i="1"/>
  <c r="X152" i="1"/>
  <c r="AR105" i="1"/>
  <c r="AR126" i="1"/>
  <c r="X126" i="1"/>
  <c r="AR136" i="1"/>
  <c r="X110" i="1"/>
  <c r="X156" i="1"/>
  <c r="X157" i="1"/>
  <c r="X142" i="1"/>
  <c r="AR155" i="1"/>
  <c r="AR107" i="1"/>
  <c r="X158" i="1"/>
  <c r="AR141" i="1"/>
  <c r="AR168" i="1"/>
  <c r="X172" i="1"/>
  <c r="X174" i="1"/>
  <c r="X169" i="1"/>
  <c r="X171" i="1"/>
  <c r="AR172" i="1"/>
  <c r="X109" i="1"/>
  <c r="AR110" i="1"/>
  <c r="AR124" i="1"/>
  <c r="X121" i="1"/>
  <c r="X105" i="1"/>
  <c r="AR104" i="1"/>
  <c r="AR122" i="1"/>
  <c r="X104" i="1"/>
  <c r="AR120" i="1"/>
  <c r="X155" i="1"/>
  <c r="AR156" i="1"/>
  <c r="X106" i="1"/>
  <c r="AR106" i="1"/>
  <c r="AR139" i="1"/>
  <c r="AR138" i="1"/>
  <c r="X138" i="1"/>
  <c r="AR170" i="1"/>
  <c r="AR171" i="1"/>
  <c r="AR169" i="1"/>
  <c r="X108" i="1"/>
  <c r="X120" i="1"/>
  <c r="AR125" i="1"/>
  <c r="AR121" i="1"/>
  <c r="AR158" i="1"/>
  <c r="AR108" i="1"/>
  <c r="AR109" i="1"/>
  <c r="X141" i="1"/>
  <c r="X137" i="1"/>
  <c r="AR152" i="1"/>
  <c r="AR123" i="1"/>
  <c r="X140" i="1"/>
  <c r="AR157" i="1"/>
  <c r="X139" i="1"/>
  <c r="X136" i="1"/>
  <c r="AR137" i="1"/>
  <c r="X170" i="1"/>
  <c r="AR173" i="1"/>
  <c r="X153" i="1"/>
  <c r="AR153" i="1"/>
  <c r="X124" i="1"/>
  <c r="X154" i="1"/>
  <c r="AT153" i="1"/>
  <c r="AV153" i="1" s="1"/>
  <c r="AS153" i="1"/>
  <c r="AU153" i="1" s="1"/>
  <c r="Z169" i="1"/>
  <c r="AB169" i="1" s="1"/>
  <c r="Y169" i="1"/>
  <c r="AA169" i="1" s="1"/>
  <c r="Y121" i="1"/>
  <c r="AA121" i="1" s="1"/>
  <c r="AS137" i="1"/>
  <c r="AU137" i="1" s="1"/>
  <c r="Z170" i="1"/>
  <c r="Y171" i="1" s="1"/>
  <c r="AS169" i="1"/>
  <c r="AU169" i="1" s="1"/>
  <c r="AT105" i="1"/>
  <c r="AT106" i="1" s="1"/>
  <c r="Z137" i="1"/>
  <c r="AB137" i="1" s="1"/>
  <c r="Z153" i="1"/>
  <c r="AB153" i="1" s="1"/>
  <c r="AT169" i="1"/>
  <c r="AV169" i="1" s="1"/>
  <c r="AT121" i="1"/>
  <c r="AV121" i="1" s="1"/>
  <c r="AS121" i="1"/>
  <c r="AU121" i="1" s="1"/>
  <c r="AT137" i="1"/>
  <c r="AV137" i="1" s="1"/>
  <c r="AS105" i="1"/>
  <c r="AU105" i="1" s="1"/>
  <c r="Z121" i="1"/>
  <c r="AB121" i="1" s="1"/>
  <c r="Y105" i="1"/>
  <c r="AA105" i="1" s="1"/>
  <c r="Y137" i="1"/>
  <c r="AA137" i="1" s="1"/>
  <c r="Y170" i="1"/>
  <c r="Z105" i="1"/>
  <c r="AB105" i="1" s="1"/>
  <c r="Y153" i="1"/>
  <c r="AA153" i="1" s="1"/>
  <c r="V106" i="1"/>
  <c r="AP139" i="1"/>
  <c r="AP140" i="1" s="1"/>
  <c r="AO170" i="1"/>
  <c r="AQ138" i="1"/>
  <c r="AQ139" i="1" s="1"/>
  <c r="J138" i="1"/>
  <c r="L138" i="1" s="1"/>
  <c r="M154" i="1"/>
  <c r="M155" i="1" s="1"/>
  <c r="AD138" i="1"/>
  <c r="AF138" i="1" s="1"/>
  <c r="AE122" i="1"/>
  <c r="AG122" i="1" s="1"/>
  <c r="AH168" i="1"/>
  <c r="N106" i="1"/>
  <c r="AH122" i="1"/>
  <c r="AH106" i="1"/>
  <c r="N122" i="1"/>
  <c r="N173" i="1"/>
  <c r="N104" i="1"/>
  <c r="N121" i="1"/>
  <c r="N120" i="1"/>
  <c r="N153" i="1"/>
  <c r="N105" i="1"/>
  <c r="AH104" i="1"/>
  <c r="N141" i="1"/>
  <c r="N137" i="1"/>
  <c r="N108" i="1"/>
  <c r="AH138" i="1"/>
  <c r="N138" i="1"/>
  <c r="N110" i="1"/>
  <c r="AH153" i="1"/>
  <c r="AH136" i="1"/>
  <c r="AH120" i="1"/>
  <c r="N142" i="1"/>
  <c r="AH155" i="1"/>
  <c r="AH140" i="1"/>
  <c r="N140" i="1"/>
  <c r="N172" i="1"/>
  <c r="AH173" i="1"/>
  <c r="AH171" i="1"/>
  <c r="AH172" i="1"/>
  <c r="AH110" i="1"/>
  <c r="AH126" i="1"/>
  <c r="AH125" i="1"/>
  <c r="AH141" i="1"/>
  <c r="N156" i="1"/>
  <c r="AH121" i="1"/>
  <c r="N139" i="1"/>
  <c r="N157" i="1"/>
  <c r="N158" i="1"/>
  <c r="N124" i="1"/>
  <c r="AH152" i="1"/>
  <c r="N155" i="1"/>
  <c r="N109" i="1"/>
  <c r="N174" i="1"/>
  <c r="N170" i="1"/>
  <c r="AH170" i="1"/>
  <c r="N171" i="1"/>
  <c r="AH169" i="1"/>
  <c r="AH174" i="1"/>
  <c r="N107" i="1"/>
  <c r="AH108" i="1"/>
  <c r="AH124" i="1"/>
  <c r="AH123" i="1"/>
  <c r="AH139" i="1"/>
  <c r="AH157" i="1"/>
  <c r="N125" i="1"/>
  <c r="AH137" i="1"/>
  <c r="N152" i="1"/>
  <c r="AH156" i="1"/>
  <c r="N126" i="1"/>
  <c r="N154" i="1"/>
  <c r="AH158" i="1"/>
  <c r="AH154" i="1"/>
  <c r="N168" i="1"/>
  <c r="N169" i="1"/>
  <c r="AH109" i="1"/>
  <c r="AH105" i="1"/>
  <c r="AH107" i="1"/>
  <c r="N123" i="1"/>
  <c r="N136" i="1"/>
  <c r="AH142" i="1"/>
  <c r="AJ121" i="1"/>
  <c r="AI122" i="1" s="1"/>
  <c r="AI121" i="1"/>
  <c r="AK121" i="1" s="1"/>
  <c r="P170" i="1"/>
  <c r="R170" i="1" s="1"/>
  <c r="O154" i="1"/>
  <c r="Q154" i="1" s="1"/>
  <c r="P138" i="1"/>
  <c r="R138" i="1" s="1"/>
  <c r="P106" i="1"/>
  <c r="R106" i="1" s="1"/>
  <c r="AI105" i="1"/>
  <c r="AK105" i="1" s="1"/>
  <c r="AI153" i="1"/>
  <c r="AK153" i="1" s="1"/>
  <c r="AI137" i="1"/>
  <c r="AK137" i="1" s="1"/>
  <c r="O122" i="1"/>
  <c r="Q122" i="1" s="1"/>
  <c r="O138" i="1"/>
  <c r="Q138" i="1" s="1"/>
  <c r="P122" i="1"/>
  <c r="O123" i="1" s="1"/>
  <c r="O106" i="1"/>
  <c r="Q106" i="1" s="1"/>
  <c r="AI169" i="1"/>
  <c r="AK169" i="1" s="1"/>
  <c r="AJ105" i="1"/>
  <c r="AL105" i="1" s="1"/>
  <c r="AJ137" i="1"/>
  <c r="AL137" i="1" s="1"/>
  <c r="AJ153" i="1"/>
  <c r="AL153" i="1" s="1"/>
  <c r="O170" i="1"/>
  <c r="Q170" i="1" s="1"/>
  <c r="AJ169" i="1"/>
  <c r="AL169" i="1" s="1"/>
  <c r="O155" i="1"/>
  <c r="Q155" i="1" s="1"/>
  <c r="P154" i="1"/>
  <c r="P155" i="1" s="1"/>
  <c r="P156" i="1" s="1"/>
  <c r="AQ170" i="1"/>
  <c r="U122" i="1"/>
  <c r="K122" i="1"/>
  <c r="M121" i="1"/>
  <c r="AD106" i="1"/>
  <c r="AF106" i="1" s="1"/>
  <c r="AG138" i="1"/>
  <c r="AG139" i="1" s="1"/>
  <c r="K138" i="1"/>
  <c r="M138" i="1" s="1"/>
  <c r="AQ154" i="1"/>
  <c r="U138" i="1"/>
  <c r="W137" i="1"/>
  <c r="R154" i="1"/>
  <c r="AE170" i="1"/>
  <c r="AG169" i="1"/>
  <c r="U52" i="1"/>
  <c r="U53" i="1" s="1"/>
  <c r="U54" i="1" s="1"/>
  <c r="K52" i="1"/>
  <c r="M52" i="1" s="1"/>
  <c r="AH56" i="1"/>
  <c r="AH52" i="1"/>
  <c r="N56" i="1"/>
  <c r="N52" i="1"/>
  <c r="AH38" i="1"/>
  <c r="N35" i="1"/>
  <c r="N37" i="1"/>
  <c r="AH40" i="1"/>
  <c r="N40" i="1"/>
  <c r="N38" i="1"/>
  <c r="AH55" i="1"/>
  <c r="N55" i="1"/>
  <c r="N51" i="1"/>
  <c r="AH37" i="1"/>
  <c r="N53" i="1"/>
  <c r="AH35" i="1"/>
  <c r="AH36" i="1"/>
  <c r="AH54" i="1"/>
  <c r="AH50" i="1"/>
  <c r="N54" i="1"/>
  <c r="N50" i="1"/>
  <c r="AH51" i="1"/>
  <c r="N41" i="1"/>
  <c r="N36" i="1"/>
  <c r="AH41" i="1"/>
  <c r="N39" i="1"/>
  <c r="AH53" i="1"/>
  <c r="AH39" i="1"/>
  <c r="O52" i="1"/>
  <c r="Q52" i="1" s="1"/>
  <c r="AJ51" i="1"/>
  <c r="AL51" i="1" s="1"/>
  <c r="AI36" i="1"/>
  <c r="AJ36" i="1"/>
  <c r="P52" i="1"/>
  <c r="P53" i="1" s="1"/>
  <c r="P54" i="1" s="1"/>
  <c r="AI51" i="1"/>
  <c r="AK51" i="1" s="1"/>
  <c r="AE52" i="1"/>
  <c r="AG51" i="1"/>
  <c r="AR50" i="1"/>
  <c r="X54" i="1"/>
  <c r="X36" i="1"/>
  <c r="AR37" i="1"/>
  <c r="AR39" i="1"/>
  <c r="X52" i="1"/>
  <c r="AR40" i="1"/>
  <c r="AR51" i="1"/>
  <c r="AR56" i="1"/>
  <c r="X51" i="1"/>
  <c r="AR54" i="1"/>
  <c r="X56" i="1"/>
  <c r="X39" i="1"/>
  <c r="AR41" i="1"/>
  <c r="AR36" i="1"/>
  <c r="X37" i="1"/>
  <c r="AR55" i="1"/>
  <c r="AR52" i="1"/>
  <c r="X53" i="1"/>
  <c r="AR53" i="1"/>
  <c r="X50" i="1"/>
  <c r="X35" i="1"/>
  <c r="AR35" i="1"/>
  <c r="X41" i="1"/>
  <c r="X38" i="1"/>
  <c r="X55" i="1"/>
  <c r="X40" i="1"/>
  <c r="AR38" i="1"/>
  <c r="AT51" i="1"/>
  <c r="AV51" i="1" s="1"/>
  <c r="AT36" i="1"/>
  <c r="AS37" i="1" s="1"/>
  <c r="Z36" i="1"/>
  <c r="Z37" i="1" s="1"/>
  <c r="Y36" i="1"/>
  <c r="AA36" i="1" s="1"/>
  <c r="Z51" i="1"/>
  <c r="Z52" i="1" s="1"/>
  <c r="Z53" i="1" s="1"/>
  <c r="AS51" i="1"/>
  <c r="AU51" i="1" s="1"/>
  <c r="AS36" i="1"/>
  <c r="Y51" i="1"/>
  <c r="AA51" i="1" s="1"/>
  <c r="J52" i="1"/>
  <c r="L52" i="1" s="1"/>
  <c r="AQ52" i="1"/>
  <c r="AJ37" i="1"/>
  <c r="AJ38" i="1" s="1"/>
  <c r="AJ39" i="1" s="1"/>
  <c r="AJ40" i="1" s="1"/>
  <c r="AJ41" i="1" s="1"/>
  <c r="AE37" i="1"/>
  <c r="AE38" i="1" s="1"/>
  <c r="AE39" i="1" s="1"/>
  <c r="AE40" i="1" s="1"/>
  <c r="AE41" i="1" s="1"/>
  <c r="AO37" i="1"/>
  <c r="AO38" i="1" s="1"/>
  <c r="AO39" i="1" s="1"/>
  <c r="AO40" i="1" s="1"/>
  <c r="AO41" i="1" s="1"/>
  <c r="AG36" i="1"/>
  <c r="AF36" i="1"/>
  <c r="AP36" i="1"/>
  <c r="U37" i="1"/>
  <c r="T38" i="1" s="1"/>
  <c r="T37" i="1"/>
  <c r="V37" i="1" s="1"/>
  <c r="J37" i="1"/>
  <c r="L37" i="1" s="1"/>
  <c r="K37" i="1"/>
  <c r="M37" i="1" s="1"/>
  <c r="E47" i="1"/>
  <c r="E45" i="1"/>
  <c r="R36" i="1"/>
  <c r="Q36" i="1"/>
  <c r="AS138" i="1" l="1"/>
  <c r="O139" i="1"/>
  <c r="P139" i="1"/>
  <c r="O140" i="1" s="1"/>
  <c r="Y154" i="1"/>
  <c r="Z154" i="1"/>
  <c r="Y155" i="1" s="1"/>
  <c r="AJ154" i="1"/>
  <c r="AI155" i="1" s="1"/>
  <c r="AE155" i="1"/>
  <c r="AG155" i="1" s="1"/>
  <c r="AQ140" i="1"/>
  <c r="AQ141" i="1" s="1"/>
  <c r="AO141" i="1"/>
  <c r="AN142" i="1" s="1"/>
  <c r="Q139" i="1"/>
  <c r="P123" i="1"/>
  <c r="P124" i="1" s="1"/>
  <c r="P125" i="1" s="1"/>
  <c r="P126" i="1" s="1"/>
  <c r="R122" i="1"/>
  <c r="AI106" i="1"/>
  <c r="AK106" i="1" s="1"/>
  <c r="M106" i="1"/>
  <c r="J107" i="1"/>
  <c r="L107" i="1" s="1"/>
  <c r="K107" i="1"/>
  <c r="T107" i="1"/>
  <c r="V107" i="1" s="1"/>
  <c r="U107" i="1"/>
  <c r="O171" i="1"/>
  <c r="Q171" i="1" s="1"/>
  <c r="P171" i="1"/>
  <c r="AI170" i="1"/>
  <c r="AK170" i="1" s="1"/>
  <c r="AA170" i="1"/>
  <c r="AA171" i="1" s="1"/>
  <c r="Z155" i="1"/>
  <c r="Y156" i="1" s="1"/>
  <c r="AD140" i="1"/>
  <c r="AD139" i="1"/>
  <c r="P107" i="1"/>
  <c r="R107" i="1" s="1"/>
  <c r="AJ155" i="1"/>
  <c r="AA154" i="1"/>
  <c r="Z171" i="1"/>
  <c r="T155" i="1"/>
  <c r="V155" i="1" s="1"/>
  <c r="U155" i="1"/>
  <c r="O156" i="1"/>
  <c r="Q156" i="1" s="1"/>
  <c r="J171" i="1"/>
  <c r="L171" i="1" s="1"/>
  <c r="K171" i="1"/>
  <c r="R155" i="1"/>
  <c r="R156" i="1" s="1"/>
  <c r="Q123" i="1"/>
  <c r="AJ170" i="1"/>
  <c r="AO107" i="1"/>
  <c r="AN107" i="1"/>
  <c r="AP107" i="1" s="1"/>
  <c r="O107" i="1"/>
  <c r="Q107" i="1" s="1"/>
  <c r="M171" i="1"/>
  <c r="R139" i="1"/>
  <c r="AJ138" i="1"/>
  <c r="AU138" i="1"/>
  <c r="Q140" i="1"/>
  <c r="AT107" i="1"/>
  <c r="AS107" i="1"/>
  <c r="P157" i="1"/>
  <c r="O157" i="1"/>
  <c r="AG170" i="1"/>
  <c r="O172" i="1"/>
  <c r="AI138" i="1"/>
  <c r="AK138" i="1" s="1"/>
  <c r="AK122" i="1"/>
  <c r="AO171" i="1"/>
  <c r="AQ171" i="1" s="1"/>
  <c r="AN171" i="1"/>
  <c r="AP171" i="1" s="1"/>
  <c r="Z138" i="1"/>
  <c r="AB138" i="1" s="1"/>
  <c r="AT154" i="1"/>
  <c r="AG106" i="1"/>
  <c r="AD107" i="1"/>
  <c r="AF107" i="1" s="1"/>
  <c r="AE107" i="1"/>
  <c r="J156" i="1"/>
  <c r="L156" i="1" s="1"/>
  <c r="K156" i="1"/>
  <c r="M156" i="1" s="1"/>
  <c r="U171" i="1"/>
  <c r="T171" i="1"/>
  <c r="V171" i="1" s="1"/>
  <c r="AG140" i="1"/>
  <c r="AD141" i="1"/>
  <c r="AE141" i="1"/>
  <c r="AD171" i="1"/>
  <c r="AF171" i="1" s="1"/>
  <c r="AE171" i="1"/>
  <c r="W138" i="1"/>
  <c r="M122" i="1"/>
  <c r="T123" i="1"/>
  <c r="V123" i="1" s="1"/>
  <c r="U123" i="1"/>
  <c r="P140" i="1"/>
  <c r="P108" i="1"/>
  <c r="AJ106" i="1"/>
  <c r="AL106" i="1" s="1"/>
  <c r="AE123" i="1"/>
  <c r="AD123" i="1"/>
  <c r="AF123" i="1" s="1"/>
  <c r="AS170" i="1"/>
  <c r="AU170" i="1" s="1"/>
  <c r="Y138" i="1"/>
  <c r="AA138" i="1" s="1"/>
  <c r="AN155" i="1"/>
  <c r="AP155" i="1" s="1"/>
  <c r="AO155" i="1"/>
  <c r="AQ155" i="1" s="1"/>
  <c r="AO142" i="1"/>
  <c r="AQ142" i="1" s="1"/>
  <c r="T139" i="1"/>
  <c r="V139" i="1" s="1"/>
  <c r="U139" i="1"/>
  <c r="K139" i="1"/>
  <c r="M139" i="1" s="1"/>
  <c r="J139" i="1"/>
  <c r="L139" i="1" s="1"/>
  <c r="J123" i="1"/>
  <c r="L123" i="1" s="1"/>
  <c r="K123" i="1"/>
  <c r="AJ122" i="1"/>
  <c r="AL121" i="1"/>
  <c r="Z106" i="1"/>
  <c r="Z122" i="1"/>
  <c r="AS106" i="1"/>
  <c r="AU106" i="1" s="1"/>
  <c r="AV105" i="1"/>
  <c r="AV106" i="1" s="1"/>
  <c r="AV107" i="1" s="1"/>
  <c r="AB170" i="1"/>
  <c r="AS154" i="1"/>
  <c r="AU154" i="1" s="1"/>
  <c r="AT170" i="1"/>
  <c r="AV170" i="1" s="1"/>
  <c r="AF139" i="1"/>
  <c r="AF140" i="1" s="1"/>
  <c r="AO53" i="1"/>
  <c r="AN53" i="1"/>
  <c r="AP53" i="1" s="1"/>
  <c r="AP141" i="1"/>
  <c r="AQ53" i="1"/>
  <c r="AL154" i="1"/>
  <c r="AI154" i="1"/>
  <c r="AK154" i="1" s="1"/>
  <c r="AK155" i="1" s="1"/>
  <c r="W122" i="1"/>
  <c r="Y106" i="1"/>
  <c r="AA106" i="1" s="1"/>
  <c r="AB154" i="1"/>
  <c r="AS122" i="1"/>
  <c r="AU122" i="1" s="1"/>
  <c r="Y122" i="1"/>
  <c r="AA122" i="1" s="1"/>
  <c r="AT138" i="1"/>
  <c r="AT122" i="1"/>
  <c r="AV154" i="1"/>
  <c r="AN123" i="1"/>
  <c r="AP123" i="1" s="1"/>
  <c r="AO123" i="1"/>
  <c r="W171" i="1"/>
  <c r="R52" i="1"/>
  <c r="O53" i="1"/>
  <c r="Q53" i="1" s="1"/>
  <c r="AJ52" i="1"/>
  <c r="AI53" i="1" s="1"/>
  <c r="AI52" i="1"/>
  <c r="AK52" i="1" s="1"/>
  <c r="T53" i="1"/>
  <c r="V53" i="1" s="1"/>
  <c r="T54" i="1"/>
  <c r="V54" i="1" s="1"/>
  <c r="W52" i="1"/>
  <c r="W53" i="1" s="1"/>
  <c r="W54" i="1" s="1"/>
  <c r="O55" i="1"/>
  <c r="P55" i="1"/>
  <c r="Z54" i="1"/>
  <c r="Y54" i="1"/>
  <c r="AS52" i="1"/>
  <c r="AU52" i="1" s="1"/>
  <c r="Y52" i="1"/>
  <c r="AA52" i="1" s="1"/>
  <c r="AB51" i="1"/>
  <c r="AB52" i="1" s="1"/>
  <c r="AB53" i="1" s="1"/>
  <c r="AE53" i="1"/>
  <c r="AD53" i="1"/>
  <c r="AF53" i="1" s="1"/>
  <c r="O54" i="1"/>
  <c r="Y53" i="1"/>
  <c r="R53" i="1"/>
  <c r="R54" i="1" s="1"/>
  <c r="R55" i="1" s="1"/>
  <c r="AT52" i="1"/>
  <c r="AG52" i="1"/>
  <c r="K53" i="1"/>
  <c r="M53" i="1" s="1"/>
  <c r="J53" i="1"/>
  <c r="L53" i="1" s="1"/>
  <c r="U55" i="1"/>
  <c r="T55" i="1"/>
  <c r="AT37" i="1"/>
  <c r="AT38" i="1" s="1"/>
  <c r="AT39" i="1" s="1"/>
  <c r="AT40" i="1" s="1"/>
  <c r="AT41" i="1" s="1"/>
  <c r="AI37" i="1"/>
  <c r="Y38" i="1"/>
  <c r="Z38" i="1"/>
  <c r="AL36" i="1"/>
  <c r="AK36" i="1"/>
  <c r="AV36" i="1"/>
  <c r="AU36" i="1"/>
  <c r="Y37" i="1"/>
  <c r="AA37" i="1" s="1"/>
  <c r="AP37" i="1"/>
  <c r="AQ36" i="1"/>
  <c r="AF37" i="1"/>
  <c r="AN38" i="1"/>
  <c r="AD38" i="1"/>
  <c r="U38" i="1"/>
  <c r="U39" i="1" s="1"/>
  <c r="V38" i="1"/>
  <c r="W37" i="1"/>
  <c r="P37" i="1"/>
  <c r="O38" i="1" s="1"/>
  <c r="J38" i="1"/>
  <c r="L38" i="1" s="1"/>
  <c r="K38" i="1"/>
  <c r="O37" i="1"/>
  <c r="Q37" i="1" s="1"/>
  <c r="AB36" i="1"/>
  <c r="AL155" i="1" l="1"/>
  <c r="AB155" i="1"/>
  <c r="AA155" i="1"/>
  <c r="AB171" i="1"/>
  <c r="Z156" i="1"/>
  <c r="AA156" i="1"/>
  <c r="AE156" i="1"/>
  <c r="AD156" i="1"/>
  <c r="AF156" i="1" s="1"/>
  <c r="R157" i="1"/>
  <c r="O124" i="1"/>
  <c r="Q124" i="1" s="1"/>
  <c r="O125" i="1"/>
  <c r="R123" i="1"/>
  <c r="R124" i="1" s="1"/>
  <c r="R125" i="1" s="1"/>
  <c r="R126" i="1" s="1"/>
  <c r="O126" i="1"/>
  <c r="W123" i="1"/>
  <c r="M107" i="1"/>
  <c r="J108" i="1"/>
  <c r="K108" i="1"/>
  <c r="T108" i="1"/>
  <c r="V108" i="1" s="1"/>
  <c r="U108" i="1"/>
  <c r="L108" i="1"/>
  <c r="M108" i="1"/>
  <c r="O108" i="1"/>
  <c r="Q108" i="1" s="1"/>
  <c r="AU107" i="1"/>
  <c r="W107" i="1"/>
  <c r="W108" i="1" s="1"/>
  <c r="R171" i="1"/>
  <c r="P172" i="1"/>
  <c r="Q172" i="1"/>
  <c r="AB156" i="1"/>
  <c r="Q157" i="1"/>
  <c r="AL122" i="1"/>
  <c r="AN108" i="1"/>
  <c r="AP108" i="1" s="1"/>
  <c r="AO108" i="1"/>
  <c r="AQ107" i="1"/>
  <c r="U156" i="1"/>
  <c r="T156" i="1"/>
  <c r="V156" i="1" s="1"/>
  <c r="AJ156" i="1"/>
  <c r="AI156" i="1"/>
  <c r="AK156" i="1" s="1"/>
  <c r="AL170" i="1"/>
  <c r="AJ171" i="1"/>
  <c r="AI171" i="1"/>
  <c r="AK171" i="1" s="1"/>
  <c r="AG171" i="1"/>
  <c r="W155" i="1"/>
  <c r="J172" i="1"/>
  <c r="L172" i="1" s="1"/>
  <c r="K172" i="1"/>
  <c r="M172" i="1" s="1"/>
  <c r="Z172" i="1"/>
  <c r="AB172" i="1" s="1"/>
  <c r="Y172" i="1"/>
  <c r="AA172" i="1" s="1"/>
  <c r="W139" i="1"/>
  <c r="AP142" i="1"/>
  <c r="AI139" i="1"/>
  <c r="AK139" i="1" s="1"/>
  <c r="AJ139" i="1"/>
  <c r="AL138" i="1"/>
  <c r="Z157" i="1"/>
  <c r="Y157" i="1"/>
  <c r="AA157" i="1" s="1"/>
  <c r="AT171" i="1"/>
  <c r="AS171" i="1"/>
  <c r="AU171" i="1" s="1"/>
  <c r="AB106" i="1"/>
  <c r="Z107" i="1"/>
  <c r="Y107" i="1"/>
  <c r="AA107" i="1" s="1"/>
  <c r="K124" i="1"/>
  <c r="J124" i="1"/>
  <c r="L124" i="1" s="1"/>
  <c r="U140" i="1"/>
  <c r="T140" i="1"/>
  <c r="V140" i="1" s="1"/>
  <c r="O141" i="1"/>
  <c r="Q141" i="1" s="1"/>
  <c r="P141" i="1"/>
  <c r="M123" i="1"/>
  <c r="AE172" i="1"/>
  <c r="AD172" i="1"/>
  <c r="AF172" i="1" s="1"/>
  <c r="K157" i="1"/>
  <c r="J157" i="1"/>
  <c r="L157" i="1" s="1"/>
  <c r="R140" i="1"/>
  <c r="AQ123" i="1"/>
  <c r="AN124" i="1"/>
  <c r="AP124" i="1" s="1"/>
  <c r="AO124" i="1"/>
  <c r="AT123" i="1"/>
  <c r="AS123" i="1"/>
  <c r="AU123" i="1" s="1"/>
  <c r="AB122" i="1"/>
  <c r="Y123" i="1"/>
  <c r="AA123" i="1" s="1"/>
  <c r="Z123" i="1"/>
  <c r="AD124" i="1"/>
  <c r="AF124" i="1" s="1"/>
  <c r="AE124" i="1"/>
  <c r="AG123" i="1"/>
  <c r="AT155" i="1"/>
  <c r="AV155" i="1" s="1"/>
  <c r="AS155" i="1"/>
  <c r="AU155" i="1" s="1"/>
  <c r="P158" i="1"/>
  <c r="R158" i="1" s="1"/>
  <c r="O158" i="1"/>
  <c r="Q158" i="1" s="1"/>
  <c r="AS139" i="1"/>
  <c r="AU139" i="1" s="1"/>
  <c r="AT139" i="1"/>
  <c r="AQ54" i="1"/>
  <c r="AO54" i="1"/>
  <c r="AN54" i="1"/>
  <c r="AP54" i="1" s="1"/>
  <c r="AV171" i="1"/>
  <c r="AI123" i="1"/>
  <c r="AK123" i="1" s="1"/>
  <c r="AJ123" i="1"/>
  <c r="AO156" i="1"/>
  <c r="AN156" i="1"/>
  <c r="AP156" i="1" s="1"/>
  <c r="AV122" i="1"/>
  <c r="AI107" i="1"/>
  <c r="AK107" i="1" s="1"/>
  <c r="AJ107" i="1"/>
  <c r="AL107" i="1" s="1"/>
  <c r="U124" i="1"/>
  <c r="W124" i="1" s="1"/>
  <c r="T124" i="1"/>
  <c r="V124" i="1" s="1"/>
  <c r="AG141" i="1"/>
  <c r="AD142" i="1"/>
  <c r="AE142" i="1"/>
  <c r="AG107" i="1"/>
  <c r="AE108" i="1"/>
  <c r="AD108" i="1"/>
  <c r="AF108" i="1" s="1"/>
  <c r="AN172" i="1"/>
  <c r="AP172" i="1" s="1"/>
  <c r="AO172" i="1"/>
  <c r="AQ172" i="1" s="1"/>
  <c r="AS108" i="1"/>
  <c r="AU108" i="1" s="1"/>
  <c r="AT108" i="1"/>
  <c r="AV108" i="1" s="1"/>
  <c r="AG53" i="1"/>
  <c r="AV138" i="1"/>
  <c r="K140" i="1"/>
  <c r="M140" i="1" s="1"/>
  <c r="J140" i="1"/>
  <c r="L140" i="1" s="1"/>
  <c r="R108" i="1"/>
  <c r="P109" i="1"/>
  <c r="O109" i="1"/>
  <c r="Q109" i="1" s="1"/>
  <c r="AF141" i="1"/>
  <c r="AF142" i="1" s="1"/>
  <c r="T172" i="1"/>
  <c r="V172" i="1" s="1"/>
  <c r="U172" i="1"/>
  <c r="W172" i="1" s="1"/>
  <c r="Y139" i="1"/>
  <c r="AA139" i="1" s="1"/>
  <c r="Z139" i="1"/>
  <c r="AB139" i="1" s="1"/>
  <c r="Q54" i="1"/>
  <c r="Q55" i="1" s="1"/>
  <c r="AK53" i="1"/>
  <c r="AL52" i="1"/>
  <c r="AJ53" i="1"/>
  <c r="AA53" i="1"/>
  <c r="V55" i="1"/>
  <c r="AS53" i="1"/>
  <c r="AU53" i="1" s="1"/>
  <c r="AT53" i="1"/>
  <c r="AA54" i="1"/>
  <c r="Y55" i="1"/>
  <c r="Z55" i="1"/>
  <c r="W55" i="1"/>
  <c r="T56" i="1"/>
  <c r="U56" i="1"/>
  <c r="K54" i="1"/>
  <c r="J54" i="1"/>
  <c r="L54" i="1" s="1"/>
  <c r="AD54" i="1"/>
  <c r="AF54" i="1" s="1"/>
  <c r="AE54" i="1"/>
  <c r="P56" i="1"/>
  <c r="R56" i="1" s="1"/>
  <c r="O56" i="1"/>
  <c r="AB54" i="1"/>
  <c r="AV52" i="1"/>
  <c r="AS38" i="1"/>
  <c r="AI39" i="1"/>
  <c r="AI38" i="1"/>
  <c r="AQ37" i="1"/>
  <c r="AI40" i="1"/>
  <c r="AF38" i="1"/>
  <c r="AD39" i="1"/>
  <c r="AP38" i="1"/>
  <c r="AK37" i="1"/>
  <c r="AV37" i="1"/>
  <c r="AU37" i="1"/>
  <c r="Z39" i="1"/>
  <c r="Y39" i="1"/>
  <c r="AG37" i="1"/>
  <c r="AL37" i="1"/>
  <c r="AL38" i="1" s="1"/>
  <c r="T39" i="1"/>
  <c r="V39" i="1" s="1"/>
  <c r="W38" i="1"/>
  <c r="W39" i="1" s="1"/>
  <c r="Q38" i="1"/>
  <c r="AB37" i="1"/>
  <c r="R37" i="1"/>
  <c r="P38" i="1"/>
  <c r="J39" i="1"/>
  <c r="L39" i="1" s="1"/>
  <c r="K39" i="1"/>
  <c r="M38" i="1"/>
  <c r="AA38" i="1"/>
  <c r="T40" i="1"/>
  <c r="U40" i="1"/>
  <c r="R141" i="1" l="1"/>
  <c r="AG172" i="1"/>
  <c r="AE157" i="1"/>
  <c r="AD157" i="1"/>
  <c r="AF157" i="1" s="1"/>
  <c r="AB157" i="1"/>
  <c r="AG156" i="1"/>
  <c r="AG157" i="1" s="1"/>
  <c r="AV139" i="1"/>
  <c r="AL123" i="1"/>
  <c r="Q125" i="1"/>
  <c r="Q126" i="1" s="1"/>
  <c r="AV123" i="1"/>
  <c r="AQ108" i="1"/>
  <c r="K109" i="1"/>
  <c r="J109" i="1"/>
  <c r="L109" i="1" s="1"/>
  <c r="U109" i="1"/>
  <c r="T109" i="1"/>
  <c r="V109" i="1" s="1"/>
  <c r="R172" i="1"/>
  <c r="P173" i="1"/>
  <c r="O173" i="1"/>
  <c r="Q173" i="1" s="1"/>
  <c r="W156" i="1"/>
  <c r="U157" i="1"/>
  <c r="W157" i="1" s="1"/>
  <c r="T157" i="1"/>
  <c r="V157" i="1" s="1"/>
  <c r="V56" i="1"/>
  <c r="Z173" i="1"/>
  <c r="Y173" i="1"/>
  <c r="AA173" i="1" s="1"/>
  <c r="AJ172" i="1"/>
  <c r="AI172" i="1"/>
  <c r="AK172" i="1" s="1"/>
  <c r="AJ157" i="1"/>
  <c r="AI157" i="1"/>
  <c r="AK157" i="1" s="1"/>
  <c r="AN109" i="1"/>
  <c r="AP109" i="1" s="1"/>
  <c r="AO109" i="1"/>
  <c r="AL156" i="1"/>
  <c r="Q56" i="1"/>
  <c r="AQ124" i="1"/>
  <c r="K173" i="1"/>
  <c r="J173" i="1"/>
  <c r="L173" i="1" s="1"/>
  <c r="AL171" i="1"/>
  <c r="AG142" i="1"/>
  <c r="AL139" i="1"/>
  <c r="AI140" i="1"/>
  <c r="AK140" i="1" s="1"/>
  <c r="AJ140" i="1"/>
  <c r="R109" i="1"/>
  <c r="O110" i="1"/>
  <c r="Q110" i="1" s="1"/>
  <c r="P110" i="1"/>
  <c r="AG108" i="1"/>
  <c r="AE109" i="1"/>
  <c r="AD109" i="1"/>
  <c r="AF109" i="1" s="1"/>
  <c r="AJ108" i="1"/>
  <c r="AI108" i="1"/>
  <c r="AK108" i="1" s="1"/>
  <c r="AO157" i="1"/>
  <c r="AN157" i="1"/>
  <c r="AP157" i="1" s="1"/>
  <c r="AT156" i="1"/>
  <c r="AV156" i="1" s="1"/>
  <c r="AS156" i="1"/>
  <c r="AU156" i="1" s="1"/>
  <c r="AB123" i="1"/>
  <c r="AT124" i="1"/>
  <c r="AS124" i="1"/>
  <c r="AU124" i="1" s="1"/>
  <c r="M157" i="1"/>
  <c r="K158" i="1"/>
  <c r="J158" i="1"/>
  <c r="L158" i="1" s="1"/>
  <c r="AE173" i="1"/>
  <c r="AG173" i="1" s="1"/>
  <c r="AD173" i="1"/>
  <c r="AF173" i="1" s="1"/>
  <c r="AS172" i="1"/>
  <c r="AU172" i="1" s="1"/>
  <c r="AT172" i="1"/>
  <c r="AV172" i="1" s="1"/>
  <c r="AS109" i="1"/>
  <c r="AU109" i="1" s="1"/>
  <c r="AT109" i="1"/>
  <c r="AV109" i="1" s="1"/>
  <c r="AN173" i="1"/>
  <c r="AP173" i="1" s="1"/>
  <c r="AO173" i="1"/>
  <c r="AQ173" i="1" s="1"/>
  <c r="AT140" i="1"/>
  <c r="AS140" i="1"/>
  <c r="AU140" i="1" s="1"/>
  <c r="AO125" i="1"/>
  <c r="AN125" i="1"/>
  <c r="AP125" i="1" s="1"/>
  <c r="M124" i="1"/>
  <c r="W140" i="1"/>
  <c r="U141" i="1"/>
  <c r="T141" i="1"/>
  <c r="V141" i="1" s="1"/>
  <c r="AB107" i="1"/>
  <c r="Z108" i="1"/>
  <c r="Y108" i="1"/>
  <c r="AA108" i="1" s="1"/>
  <c r="AQ156" i="1"/>
  <c r="Y140" i="1"/>
  <c r="AA140" i="1" s="1"/>
  <c r="Z140" i="1"/>
  <c r="T173" i="1"/>
  <c r="V173" i="1" s="1"/>
  <c r="U173" i="1"/>
  <c r="AJ124" i="1"/>
  <c r="AI124" i="1"/>
  <c r="AK124" i="1" s="1"/>
  <c r="AN55" i="1"/>
  <c r="AP55" i="1" s="1"/>
  <c r="AO55" i="1"/>
  <c r="AG124" i="1"/>
  <c r="Y124" i="1"/>
  <c r="AA124" i="1" s="1"/>
  <c r="Z124" i="1"/>
  <c r="P142" i="1"/>
  <c r="R142" i="1" s="1"/>
  <c r="O142" i="1"/>
  <c r="Q142" i="1" s="1"/>
  <c r="Y158" i="1"/>
  <c r="AA158" i="1" s="1"/>
  <c r="Z158" i="1"/>
  <c r="K141" i="1"/>
  <c r="J141" i="1"/>
  <c r="L141" i="1" s="1"/>
  <c r="T125" i="1"/>
  <c r="V125" i="1" s="1"/>
  <c r="U125" i="1"/>
  <c r="AD125" i="1"/>
  <c r="AF125" i="1" s="1"/>
  <c r="AE125" i="1"/>
  <c r="K125" i="1"/>
  <c r="J125" i="1"/>
  <c r="L125" i="1" s="1"/>
  <c r="AL108" i="1"/>
  <c r="AL53" i="1"/>
  <c r="AI54" i="1"/>
  <c r="AK54" i="1" s="1"/>
  <c r="AJ54" i="1"/>
  <c r="AV53" i="1"/>
  <c r="W56" i="1"/>
  <c r="AA55" i="1"/>
  <c r="J55" i="1"/>
  <c r="L55" i="1" s="1"/>
  <c r="K55" i="1"/>
  <c r="AB55" i="1"/>
  <c r="Y56" i="1"/>
  <c r="AA56" i="1" s="1"/>
  <c r="Z56" i="1"/>
  <c r="M54" i="1"/>
  <c r="AE55" i="1"/>
  <c r="AD55" i="1"/>
  <c r="AF55" i="1" s="1"/>
  <c r="AS54" i="1"/>
  <c r="AU54" i="1" s="1"/>
  <c r="AT54" i="1"/>
  <c r="AG54" i="1"/>
  <c r="AG55" i="1" s="1"/>
  <c r="AU38" i="1"/>
  <c r="AS39" i="1"/>
  <c r="AV38" i="1"/>
  <c r="AQ38" i="1"/>
  <c r="AN39" i="1"/>
  <c r="AP39" i="1" s="1"/>
  <c r="AG38" i="1"/>
  <c r="AK38" i="1"/>
  <c r="AK39" i="1" s="1"/>
  <c r="AL39" i="1"/>
  <c r="AD40" i="1"/>
  <c r="AF39" i="1"/>
  <c r="AI41" i="1"/>
  <c r="AN40" i="1"/>
  <c r="Y40" i="1"/>
  <c r="Z40" i="1"/>
  <c r="AB38" i="1"/>
  <c r="W40" i="1"/>
  <c r="V40" i="1"/>
  <c r="R38" i="1"/>
  <c r="M39" i="1"/>
  <c r="P39" i="1"/>
  <c r="O39" i="1"/>
  <c r="Q39" i="1" s="1"/>
  <c r="J40" i="1"/>
  <c r="L40" i="1" s="1"/>
  <c r="K40" i="1"/>
  <c r="M40" i="1" s="1"/>
  <c r="AA39" i="1"/>
  <c r="U41" i="1"/>
  <c r="T41" i="1"/>
  <c r="AB158" i="1" l="1"/>
  <c r="AL157" i="1"/>
  <c r="M158" i="1"/>
  <c r="AD158" i="1"/>
  <c r="AF158" i="1" s="1"/>
  <c r="AE158" i="1"/>
  <c r="AG158" i="1" s="1"/>
  <c r="AV140" i="1"/>
  <c r="AQ125" i="1"/>
  <c r="AV124" i="1"/>
  <c r="T110" i="1"/>
  <c r="V110" i="1" s="1"/>
  <c r="U110" i="1"/>
  <c r="J110" i="1"/>
  <c r="L110" i="1" s="1"/>
  <c r="K110" i="1"/>
  <c r="M109" i="1"/>
  <c r="W109" i="1"/>
  <c r="AL172" i="1"/>
  <c r="R173" i="1"/>
  <c r="O174" i="1"/>
  <c r="Q174" i="1" s="1"/>
  <c r="P174" i="1"/>
  <c r="AL140" i="1"/>
  <c r="AJ158" i="1"/>
  <c r="AI158" i="1"/>
  <c r="AK158" i="1" s="1"/>
  <c r="K174" i="1"/>
  <c r="J174" i="1"/>
  <c r="L174" i="1" s="1"/>
  <c r="AO110" i="1"/>
  <c r="AN110" i="1"/>
  <c r="AP110" i="1" s="1"/>
  <c r="Y174" i="1"/>
  <c r="AA174" i="1" s="1"/>
  <c r="Z174" i="1"/>
  <c r="M55" i="1"/>
  <c r="AQ157" i="1"/>
  <c r="AI173" i="1"/>
  <c r="AK173" i="1" s="1"/>
  <c r="AJ173" i="1"/>
  <c r="AL173" i="1" s="1"/>
  <c r="M173" i="1"/>
  <c r="AQ109" i="1"/>
  <c r="U158" i="1"/>
  <c r="W158" i="1" s="1"/>
  <c r="T158" i="1"/>
  <c r="V158" i="1" s="1"/>
  <c r="AB173" i="1"/>
  <c r="AI141" i="1"/>
  <c r="AK141" i="1" s="1"/>
  <c r="AJ141" i="1"/>
  <c r="J142" i="1"/>
  <c r="L142" i="1" s="1"/>
  <c r="K142" i="1"/>
  <c r="AO56" i="1"/>
  <c r="AN56" i="1"/>
  <c r="AP56" i="1" s="1"/>
  <c r="W141" i="1"/>
  <c r="T142" i="1"/>
  <c r="V142" i="1" s="1"/>
  <c r="U142" i="1"/>
  <c r="AS110" i="1"/>
  <c r="AU110" i="1" s="1"/>
  <c r="AT110" i="1"/>
  <c r="AB124" i="1"/>
  <c r="AT157" i="1"/>
  <c r="AV157" i="1" s="1"/>
  <c r="AS157" i="1"/>
  <c r="AU157" i="1" s="1"/>
  <c r="AO158" i="1"/>
  <c r="AN158" i="1"/>
  <c r="AP158" i="1" s="1"/>
  <c r="AG109" i="1"/>
  <c r="AE110" i="1"/>
  <c r="AD110" i="1"/>
  <c r="AF110" i="1" s="1"/>
  <c r="J126" i="1"/>
  <c r="L126" i="1" s="1"/>
  <c r="K126" i="1"/>
  <c r="U126" i="1"/>
  <c r="T126" i="1"/>
  <c r="V126" i="1" s="1"/>
  <c r="Z125" i="1"/>
  <c r="Y125" i="1"/>
  <c r="AA125" i="1" s="1"/>
  <c r="Y141" i="1"/>
  <c r="AA141" i="1" s="1"/>
  <c r="Z141" i="1"/>
  <c r="AB108" i="1"/>
  <c r="Y109" i="1"/>
  <c r="AA109" i="1" s="1"/>
  <c r="Z109" i="1"/>
  <c r="AN126" i="1"/>
  <c r="AP126" i="1" s="1"/>
  <c r="AO126" i="1"/>
  <c r="W125" i="1"/>
  <c r="AB56" i="1"/>
  <c r="AV110" i="1"/>
  <c r="M125" i="1"/>
  <c r="AO174" i="1"/>
  <c r="AQ174" i="1" s="1"/>
  <c r="AN174" i="1"/>
  <c r="AP174" i="1" s="1"/>
  <c r="AE174" i="1"/>
  <c r="AG174" i="1" s="1"/>
  <c r="AD174" i="1"/>
  <c r="AF174" i="1" s="1"/>
  <c r="AI109" i="1"/>
  <c r="AK109" i="1" s="1"/>
  <c r="AJ109" i="1"/>
  <c r="AL109" i="1" s="1"/>
  <c r="R110" i="1"/>
  <c r="R111" i="1" s="1"/>
  <c r="AB140" i="1"/>
  <c r="AD126" i="1"/>
  <c r="AF126" i="1" s="1"/>
  <c r="AE126" i="1"/>
  <c r="AG125" i="1"/>
  <c r="AL124" i="1"/>
  <c r="AI125" i="1"/>
  <c r="AK125" i="1" s="1"/>
  <c r="AJ125" i="1"/>
  <c r="U174" i="1"/>
  <c r="T174" i="1"/>
  <c r="V174" i="1" s="1"/>
  <c r="AS141" i="1"/>
  <c r="AU141" i="1" s="1"/>
  <c r="AT141" i="1"/>
  <c r="AV141" i="1" s="1"/>
  <c r="AT173" i="1"/>
  <c r="AS173" i="1"/>
  <c r="AU173" i="1" s="1"/>
  <c r="AT125" i="1"/>
  <c r="AS125" i="1"/>
  <c r="AU125" i="1" s="1"/>
  <c r="AQ55" i="1"/>
  <c r="M141" i="1"/>
  <c r="M142" i="1" s="1"/>
  <c r="W173" i="1"/>
  <c r="AI55" i="1"/>
  <c r="AK55" i="1" s="1"/>
  <c r="AJ55" i="1"/>
  <c r="AL54" i="1"/>
  <c r="AD56" i="1"/>
  <c r="AF56" i="1" s="1"/>
  <c r="AE56" i="1"/>
  <c r="AG56" i="1" s="1"/>
  <c r="K56" i="1"/>
  <c r="M56" i="1" s="1"/>
  <c r="J56" i="1"/>
  <c r="L56" i="1" s="1"/>
  <c r="AS55" i="1"/>
  <c r="AU55" i="1" s="1"/>
  <c r="AT55" i="1"/>
  <c r="AV54" i="1"/>
  <c r="AU39" i="1"/>
  <c r="AV39" i="1"/>
  <c r="AS40" i="1"/>
  <c r="AG39" i="1"/>
  <c r="AK40" i="1"/>
  <c r="AL40" i="1"/>
  <c r="Y41" i="1"/>
  <c r="Z41" i="1"/>
  <c r="AP40" i="1"/>
  <c r="AN41" i="1"/>
  <c r="AQ39" i="1"/>
  <c r="AF40" i="1"/>
  <c r="V41" i="1"/>
  <c r="W41" i="1"/>
  <c r="R39" i="1"/>
  <c r="P40" i="1"/>
  <c r="O40" i="1"/>
  <c r="Q40" i="1" s="1"/>
  <c r="J41" i="1"/>
  <c r="L41" i="1" s="1"/>
  <c r="K41" i="1"/>
  <c r="M41" i="1" s="1"/>
  <c r="AA40" i="1"/>
  <c r="AB39" i="1"/>
  <c r="AB174" i="1" l="1"/>
  <c r="M174" i="1"/>
  <c r="AL158" i="1"/>
  <c r="AQ158" i="1"/>
  <c r="AB141" i="1"/>
  <c r="AQ126" i="1"/>
  <c r="M126" i="1"/>
  <c r="W126" i="1"/>
  <c r="AQ110" i="1"/>
  <c r="AQ111" i="1" s="1"/>
  <c r="M110" i="1"/>
  <c r="W110" i="1"/>
  <c r="W174" i="1"/>
  <c r="R174" i="1"/>
  <c r="AG110" i="1"/>
  <c r="AJ174" i="1"/>
  <c r="AL174" i="1" s="1"/>
  <c r="AI174" i="1"/>
  <c r="AK174" i="1" s="1"/>
  <c r="AJ142" i="1"/>
  <c r="AI142" i="1"/>
  <c r="AK142" i="1" s="1"/>
  <c r="W142" i="1"/>
  <c r="AL141" i="1"/>
  <c r="AT174" i="1"/>
  <c r="AS174" i="1"/>
  <c r="AU174" i="1" s="1"/>
  <c r="AS158" i="1"/>
  <c r="AU158" i="1" s="1"/>
  <c r="AT158" i="1"/>
  <c r="AV158" i="1" s="1"/>
  <c r="AT142" i="1"/>
  <c r="AV142" i="1" s="1"/>
  <c r="AS142" i="1"/>
  <c r="AU142" i="1" s="1"/>
  <c r="AG126" i="1"/>
  <c r="AB125" i="1"/>
  <c r="Y126" i="1"/>
  <c r="AA126" i="1" s="1"/>
  <c r="Z126" i="1"/>
  <c r="AQ56" i="1"/>
  <c r="AL125" i="1"/>
  <c r="AI126" i="1"/>
  <c r="AK126" i="1" s="1"/>
  <c r="AJ126" i="1"/>
  <c r="Z142" i="1"/>
  <c r="Y142" i="1"/>
  <c r="AA142" i="1" s="1"/>
  <c r="AV173" i="1"/>
  <c r="AV174" i="1" s="1"/>
  <c r="AT126" i="1"/>
  <c r="AS126" i="1"/>
  <c r="AU126" i="1" s="1"/>
  <c r="AI110" i="1"/>
  <c r="AK110" i="1" s="1"/>
  <c r="AJ110" i="1"/>
  <c r="AL110" i="1" s="1"/>
  <c r="AL111" i="1" s="1"/>
  <c r="AB109" i="1"/>
  <c r="Z110" i="1"/>
  <c r="AB110" i="1" s="1"/>
  <c r="AB111" i="1" s="1"/>
  <c r="Y110" i="1"/>
  <c r="AA110" i="1" s="1"/>
  <c r="AV125" i="1"/>
  <c r="AV55" i="1"/>
  <c r="AL55" i="1"/>
  <c r="AJ56" i="1"/>
  <c r="AI56" i="1"/>
  <c r="AK56" i="1" s="1"/>
  <c r="AT56" i="1"/>
  <c r="AV56" i="1" s="1"/>
  <c r="AS56" i="1"/>
  <c r="AU56" i="1" s="1"/>
  <c r="AU40" i="1"/>
  <c r="AS41" i="1"/>
  <c r="AV40" i="1"/>
  <c r="AL41" i="1"/>
  <c r="AK41" i="1"/>
  <c r="AG40" i="1"/>
  <c r="AG41" i="1" s="1"/>
  <c r="AD41" i="1"/>
  <c r="AF41" i="1" s="1"/>
  <c r="AQ40" i="1"/>
  <c r="AP41" i="1"/>
  <c r="R40" i="1"/>
  <c r="P41" i="1"/>
  <c r="O41" i="1"/>
  <c r="Q41" i="1" s="1"/>
  <c r="AB40" i="1"/>
  <c r="AA41" i="1"/>
  <c r="AB142" i="1" l="1"/>
  <c r="AL126" i="1"/>
  <c r="AV126" i="1"/>
  <c r="AL142" i="1"/>
  <c r="AB126" i="1"/>
  <c r="AL56" i="1"/>
  <c r="AU41" i="1"/>
  <c r="AV41" i="1"/>
  <c r="AQ41" i="1"/>
  <c r="R41" i="1"/>
  <c r="AB41" i="1"/>
</calcChain>
</file>

<file path=xl/sharedStrings.xml><?xml version="1.0" encoding="utf-8"?>
<sst xmlns="http://schemas.openxmlformats.org/spreadsheetml/2006/main" count="667" uniqueCount="132">
  <si>
    <t>Segment Width</t>
  </si>
  <si>
    <t>in</t>
  </si>
  <si>
    <t>mm</t>
  </si>
  <si>
    <t>Pin Diameter</t>
  </si>
  <si>
    <t>Pin Spacing</t>
  </si>
  <si>
    <t>l</t>
  </si>
  <si>
    <t>w</t>
  </si>
  <si>
    <t>pd</t>
  </si>
  <si>
    <t>Number of Segment Pairs</t>
  </si>
  <si>
    <t>N</t>
  </si>
  <si>
    <t>Min. Segment Angle</t>
  </si>
  <si>
    <t>Θ</t>
  </si>
  <si>
    <t>degrees</t>
  </si>
  <si>
    <t>radians</t>
  </si>
  <si>
    <t>Half of Segment Angle</t>
  </si>
  <si>
    <t>Retracted Width</t>
  </si>
  <si>
    <t>w_r</t>
  </si>
  <si>
    <t>2Θ</t>
  </si>
  <si>
    <t>Extended Width</t>
  </si>
  <si>
    <t>Full Segment Length</t>
  </si>
  <si>
    <t>ps</t>
  </si>
  <si>
    <t>sl</t>
  </si>
  <si>
    <t>Retracted</t>
  </si>
  <si>
    <t>Extended</t>
  </si>
  <si>
    <t>x1</t>
  </si>
  <si>
    <t>x2</t>
  </si>
  <si>
    <t>Length Amplification</t>
  </si>
  <si>
    <t>la</t>
  </si>
  <si>
    <t>Extended Length</t>
  </si>
  <si>
    <t>Retracted Length</t>
  </si>
  <si>
    <t>l_r</t>
  </si>
  <si>
    <t>l_e</t>
  </si>
  <si>
    <t>w_e</t>
  </si>
  <si>
    <t>times</t>
  </si>
  <si>
    <t>Retracted (pin-to-pin) width</t>
  </si>
  <si>
    <t>Extended (pin-to-pin) width</t>
  </si>
  <si>
    <t>Extended (pin-to-pin) length</t>
  </si>
  <si>
    <t>Retracted (pin-to-pin) length</t>
  </si>
  <si>
    <t>y1</t>
  </si>
  <si>
    <t>y2</t>
  </si>
  <si>
    <t>Segment</t>
  </si>
  <si>
    <t>nj</t>
  </si>
  <si>
    <t>joints</t>
  </si>
  <si>
    <t>Custom Length</t>
  </si>
  <si>
    <t>inches</t>
  </si>
  <si>
    <t>Top Segment Thickness</t>
  </si>
  <si>
    <t>Middle Segment Thickness</t>
  </si>
  <si>
    <t>t1</t>
  </si>
  <si>
    <t>t2</t>
  </si>
  <si>
    <t>Bottom Segment Thickness</t>
  </si>
  <si>
    <t>t3</t>
  </si>
  <si>
    <t>Pin Diameter Mismatch</t>
  </si>
  <si>
    <t>Actual Pin Hole Size</t>
  </si>
  <si>
    <t>apd</t>
  </si>
  <si>
    <t>pdm</t>
  </si>
  <si>
    <t>Abbe Angle Errror (3 Segments)</t>
  </si>
  <si>
    <t>Abbe Angle Errror (2 Segments)</t>
  </si>
  <si>
    <t>aa2</t>
  </si>
  <si>
    <t>aa3</t>
  </si>
  <si>
    <t>Segment Spacing Gap</t>
  </si>
  <si>
    <t>ssg</t>
  </si>
  <si>
    <t>Segment Overlap Length (from pin center)</t>
  </si>
  <si>
    <t>sol</t>
  </si>
  <si>
    <t>Extra Segment Overlap</t>
  </si>
  <si>
    <t>esl</t>
  </si>
  <si>
    <t>Total Overlap</t>
  </si>
  <si>
    <t>to</t>
  </si>
  <si>
    <t>2 segment (w/o extra)</t>
  </si>
  <si>
    <t>Angle (radians)</t>
  </si>
  <si>
    <r>
      <t>∆</t>
    </r>
    <r>
      <rPr>
        <b/>
        <sz val="9.35"/>
        <color theme="1"/>
        <rFont val="Calibri"/>
        <family val="2"/>
      </rPr>
      <t>x</t>
    </r>
  </si>
  <si>
    <t>∆z</t>
  </si>
  <si>
    <t>x</t>
  </si>
  <si>
    <t>z</t>
  </si>
  <si>
    <t>2 segment (w/ extra)</t>
  </si>
  <si>
    <t>3 segment (w/o extra)</t>
  </si>
  <si>
    <t>3 segment (w/ extra)</t>
  </si>
  <si>
    <t>Scissor-Based Telescoping Wafer Transfer Mechanism Dimensioning and Error Budgeting</t>
  </si>
  <si>
    <t>Bending Errors (negative z-axis)</t>
  </si>
  <si>
    <t>Moment of Inertia</t>
  </si>
  <si>
    <t>in^4</t>
  </si>
  <si>
    <t>mm^4</t>
  </si>
  <si>
    <t>Length</t>
  </si>
  <si>
    <t>Force Applied</t>
  </si>
  <si>
    <t>Elastic Modulus (6061 Aluminum)</t>
  </si>
  <si>
    <t>N/mm^2</t>
  </si>
  <si>
    <t>Mass density (6061 Aluminum)</t>
  </si>
  <si>
    <t>kg/mm^3</t>
  </si>
  <si>
    <t>Stiffness (k) (6061 Aluminum)</t>
  </si>
  <si>
    <t>N/mm</t>
  </si>
  <si>
    <t>N/um</t>
  </si>
  <si>
    <t>Deflection (δ) (6061 Aluminum)</t>
  </si>
  <si>
    <t>um</t>
  </si>
  <si>
    <t>So, compared to the sag errors, the bending errors are insignificant</t>
  </si>
  <si>
    <t>Mass (6061 Aluminum)</t>
  </si>
  <si>
    <t>lbs</t>
  </si>
  <si>
    <t>kg</t>
  </si>
  <si>
    <t>Resonant Frequency (6061 Aluminum)</t>
  </si>
  <si>
    <t>Hz</t>
  </si>
  <si>
    <t>Elastic Modulus (304 Stainless Steel)</t>
  </si>
  <si>
    <t>Mass density (304 Stainless Steel)</t>
  </si>
  <si>
    <t>Stiffness (k) (304 Stainless Steel)</t>
  </si>
  <si>
    <t>Deflection (δ) (304 Stainless Steel)</t>
  </si>
  <si>
    <t>Mass (304 Stainless Steel)</t>
  </si>
  <si>
    <t>Resonant Frequency (304 Stainless Steel)</t>
  </si>
  <si>
    <t>Width</t>
  </si>
  <si>
    <t>Thickness</t>
  </si>
  <si>
    <t>lbf</t>
  </si>
  <si>
    <t>distance between edge pins</t>
  </si>
  <si>
    <t>Number of Revolute Joints</t>
  </si>
  <si>
    <t>(current)</t>
  </si>
  <si>
    <t>Full Stroke Length</t>
  </si>
  <si>
    <t>External Stroke Length</t>
  </si>
  <si>
    <t>(chosen)</t>
  </si>
  <si>
    <t>3seg possible tilt from gap (no extra)</t>
  </si>
  <si>
    <t>3seg possible tilt from gap (extra length)</t>
  </si>
  <si>
    <t>2seg possible tilt from gap (extra length)</t>
  </si>
  <si>
    <t>2seg possible tilt from gap (no extra)</t>
  </si>
  <si>
    <t>N/mm^3</t>
  </si>
  <si>
    <t>Initial angle</t>
  </si>
  <si>
    <t>&lt;-- inch</t>
  </si>
  <si>
    <t>mm --&gt;</t>
  </si>
  <si>
    <t>Originally for PUPS 6</t>
  </si>
  <si>
    <t>Applied Force</t>
  </si>
  <si>
    <t>Calculations for initial sag angle from slot bending (worst case pinned cantilever approximation)</t>
  </si>
  <si>
    <t>Slot Width</t>
  </si>
  <si>
    <t>Slot Length</t>
  </si>
  <si>
    <t>Slot Thickness</t>
  </si>
  <si>
    <t>Deflection</t>
  </si>
  <si>
    <t>Gap (between slots)</t>
  </si>
  <si>
    <t>Modulus (E)</t>
  </si>
  <si>
    <t>Moment (I)</t>
  </si>
  <si>
    <t>Resulting Angle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</si>
</sst>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9.35"/>
      <color theme="1"/>
      <name val="Calibri"/>
      <family val="2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vertical="center"/>
    </xf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5" xfId="0" applyBorder="1"/>
    <xf numFmtId="0" fontId="2" fillId="0" borderId="3" xfId="0" applyFont="1" applyBorder="1"/>
    <xf numFmtId="0" fontId="2" fillId="0" borderId="0" xfId="0" applyFont="1"/>
    <xf numFmtId="0" fontId="2" fillId="2" borderId="0" xfId="0" applyFont="1" applyFill="1"/>
    <xf numFmtId="0" fontId="2" fillId="0" borderId="4" xfId="0" applyFont="1" applyBorder="1"/>
    <xf numFmtId="0" fontId="1" fillId="0" borderId="4" xfId="0" applyFont="1" applyBorder="1"/>
    <xf numFmtId="0" fontId="1" fillId="0" borderId="0" xfId="0" applyFont="1" applyBorder="1"/>
    <xf numFmtId="0" fontId="0" fillId="0" borderId="4" xfId="0" applyBorder="1"/>
    <xf numFmtId="0" fontId="5" fillId="0" borderId="0" xfId="0" applyFont="1" applyAlignment="1">
      <alignment horizontal="center"/>
    </xf>
    <xf numFmtId="0" fontId="5" fillId="0" borderId="0" xfId="0" applyFont="1" applyAlignment="1">
      <alignment vertical="center"/>
    </xf>
    <xf numFmtId="0" fontId="2" fillId="0" borderId="6" xfId="0" applyFont="1" applyBorder="1"/>
    <xf numFmtId="0" fontId="6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/>
    <xf numFmtId="0" fontId="0" fillId="0" borderId="0" xfId="0" applyFont="1" applyFill="1" applyAlignment="1">
      <alignment vertical="center"/>
    </xf>
    <xf numFmtId="0" fontId="0" fillId="0" borderId="0" xfId="0" applyFont="1" applyFill="1"/>
    <xf numFmtId="0" fontId="2" fillId="0" borderId="1" xfId="0" applyFont="1" applyBorder="1"/>
    <xf numFmtId="0" fontId="0" fillId="0" borderId="1" xfId="0" applyFont="1" applyBorder="1" applyAlignment="1">
      <alignment vertical="center"/>
    </xf>
    <xf numFmtId="0" fontId="0" fillId="0" borderId="1" xfId="0" applyFont="1" applyFill="1" applyBorder="1"/>
    <xf numFmtId="0" fontId="0" fillId="0" borderId="1" xfId="0" applyFont="1" applyFill="1" applyBorder="1" applyAlignment="1">
      <alignment vertical="center"/>
    </xf>
    <xf numFmtId="0" fontId="0" fillId="0" borderId="0" xfId="0" applyFont="1" applyAlignment="1">
      <alignment vertical="center"/>
    </xf>
    <xf numFmtId="0" fontId="4" fillId="0" borderId="0" xfId="0" applyFont="1" applyFill="1"/>
    <xf numFmtId="0" fontId="4" fillId="0" borderId="0" xfId="0" applyFont="1" applyFill="1" applyAlignment="1">
      <alignment vertical="center"/>
    </xf>
    <xf numFmtId="0" fontId="1" fillId="0" borderId="1" xfId="0" applyFont="1" applyFill="1" applyBorder="1"/>
    <xf numFmtId="0" fontId="1" fillId="0" borderId="1" xfId="0" applyFont="1" applyFill="1" applyBorder="1" applyAlignment="1">
      <alignment vertical="center"/>
    </xf>
    <xf numFmtId="0" fontId="0" fillId="0" borderId="1" xfId="0" applyBorder="1" applyAlignment="1">
      <alignment horizontal="center"/>
    </xf>
    <xf numFmtId="0" fontId="1" fillId="0" borderId="0" xfId="0" applyFont="1" applyFill="1" applyBorder="1"/>
    <xf numFmtId="0" fontId="0" fillId="2" borderId="0" xfId="0" applyFill="1"/>
    <xf numFmtId="0" fontId="0" fillId="0" borderId="2" xfId="0" applyFill="1" applyBorder="1"/>
    <xf numFmtId="0" fontId="0" fillId="0" borderId="4" xfId="0" applyFill="1" applyBorder="1"/>
    <xf numFmtId="0" fontId="2" fillId="0" borderId="4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9" fillId="0" borderId="0" xfId="0" applyFont="1"/>
  </cellXfs>
  <cellStyles count="1">
    <cellStyle name="Normal" xfId="0" builtinId="0"/>
  </cellStyles>
  <dxfs count="1"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latin typeface="Segoe UI Semibold" panose="020B0702040204020203" pitchFamily="34" charset="0"/>
                <a:cs typeface="Segoe UI Semibold" panose="020B0702040204020203" pitchFamily="34" charset="0"/>
              </a:defRPr>
            </a:pPr>
            <a:r>
              <a:rPr lang="en-US">
                <a:latin typeface="Segoe UI Semibold" panose="020B0702040204020203" pitchFamily="34" charset="0"/>
                <a:cs typeface="Segoe UI Semibold" panose="020B0702040204020203" pitchFamily="34" charset="0"/>
              </a:rPr>
              <a:t>Scissor Actuator Joint Locations</a:t>
            </a:r>
          </a:p>
        </c:rich>
      </c:tx>
      <c:layout>
        <c:manualLayout>
          <c:xMode val="edge"/>
          <c:yMode val="edge"/>
          <c:x val="0.32140601513787692"/>
          <c:y val="5.5343628918789217E-2"/>
        </c:manualLayout>
      </c:layout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Retracted</c:v>
          </c:tx>
          <c:spPr>
            <a:ln>
              <a:solidFill>
                <a:srgbClr val="FF0000"/>
              </a:solidFill>
            </a:ln>
          </c:spPr>
          <c:marker>
            <c:symbol val="circle"/>
            <c:size val="5"/>
            <c:spPr>
              <a:solidFill>
                <a:srgbClr val="C00000"/>
              </a:solidFill>
              <a:ln>
                <a:noFill/>
              </a:ln>
            </c:spPr>
          </c:marker>
          <c:xVal>
            <c:numRef>
              <c:f>[0]!range_rx1</c:f>
              <c:numCache>
                <c:formatCode>General</c:formatCode>
                <c:ptCount val="7"/>
                <c:pt idx="0">
                  <c:v>0</c:v>
                </c:pt>
                <c:pt idx="1">
                  <c:v>0.38047945213296619</c:v>
                </c:pt>
                <c:pt idx="2">
                  <c:v>0.76095890426593238</c:v>
                </c:pt>
                <c:pt idx="3">
                  <c:v>1.1414383563988986</c:v>
                </c:pt>
                <c:pt idx="4">
                  <c:v>1.5219178085318648</c:v>
                </c:pt>
                <c:pt idx="5">
                  <c:v>1.9023972606648309</c:v>
                </c:pt>
                <c:pt idx="6">
                  <c:v>2.2828767127977971</c:v>
                </c:pt>
              </c:numCache>
            </c:numRef>
          </c:xVal>
          <c:yVal>
            <c:numRef>
              <c:f>[0]!range_rz1</c:f>
              <c:numCache>
                <c:formatCode>General</c:formatCode>
                <c:ptCount val="7"/>
                <c:pt idx="0">
                  <c:v>1.1087983796101748</c:v>
                </c:pt>
                <c:pt idx="1">
                  <c:v>-1.1087983796101748</c:v>
                </c:pt>
                <c:pt idx="2">
                  <c:v>1.1087983796101748</c:v>
                </c:pt>
                <c:pt idx="3">
                  <c:v>-1.1087983796101748</c:v>
                </c:pt>
                <c:pt idx="4">
                  <c:v>1.1087983796101748</c:v>
                </c:pt>
                <c:pt idx="5">
                  <c:v>-1.1087983796101748</c:v>
                </c:pt>
                <c:pt idx="6">
                  <c:v>1.1087983796101748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7F7-4504-8CB1-E34D3C248428}"/>
            </c:ext>
          </c:extLst>
        </c:ser>
        <c:ser>
          <c:idx val="1"/>
          <c:order val="1"/>
          <c:tx>
            <c:v>Retracted</c:v>
          </c:tx>
          <c:spPr>
            <a:ln>
              <a:solidFill>
                <a:srgbClr val="FF0000"/>
              </a:solidFill>
            </a:ln>
          </c:spPr>
          <c:marker>
            <c:symbol val="circle"/>
            <c:size val="5"/>
            <c:spPr>
              <a:solidFill>
                <a:srgbClr val="C00000"/>
              </a:solidFill>
              <a:ln>
                <a:noFill/>
              </a:ln>
            </c:spPr>
          </c:marker>
          <c:xVal>
            <c:numRef>
              <c:f>[0]!range_rx2</c:f>
              <c:numCache>
                <c:formatCode>General</c:formatCode>
                <c:ptCount val="7"/>
                <c:pt idx="0">
                  <c:v>0</c:v>
                </c:pt>
                <c:pt idx="1">
                  <c:v>0.38047945213296619</c:v>
                </c:pt>
                <c:pt idx="2">
                  <c:v>0.76095890426593238</c:v>
                </c:pt>
                <c:pt idx="3">
                  <c:v>1.1414383563988986</c:v>
                </c:pt>
                <c:pt idx="4">
                  <c:v>1.5219178085318648</c:v>
                </c:pt>
                <c:pt idx="5">
                  <c:v>1.9023972606648309</c:v>
                </c:pt>
                <c:pt idx="6">
                  <c:v>2.2828767127977971</c:v>
                </c:pt>
              </c:numCache>
            </c:numRef>
          </c:xVal>
          <c:yVal>
            <c:numRef>
              <c:f>[0]!range_rz2</c:f>
              <c:numCache>
                <c:formatCode>General</c:formatCode>
                <c:ptCount val="7"/>
                <c:pt idx="0">
                  <c:v>-1.1087983796101748</c:v>
                </c:pt>
                <c:pt idx="1">
                  <c:v>1.1087983796101748</c:v>
                </c:pt>
                <c:pt idx="2">
                  <c:v>-1.1087983796101748</c:v>
                </c:pt>
                <c:pt idx="3">
                  <c:v>1.1087983796101748</c:v>
                </c:pt>
                <c:pt idx="4">
                  <c:v>-1.1087983796101748</c:v>
                </c:pt>
                <c:pt idx="5">
                  <c:v>1.1087983796101748</c:v>
                </c:pt>
                <c:pt idx="6">
                  <c:v>-1.1087983796101748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7F7-4504-8CB1-E34D3C248428}"/>
            </c:ext>
          </c:extLst>
        </c:ser>
        <c:ser>
          <c:idx val="2"/>
          <c:order val="2"/>
          <c:tx>
            <c:v>Extended</c:v>
          </c:tx>
          <c:spPr>
            <a:ln>
              <a:solidFill>
                <a:srgbClr val="00B0F0"/>
              </a:solidFill>
            </a:ln>
          </c:spPr>
          <c:marker>
            <c:symbol val="circle"/>
            <c:size val="5"/>
            <c:spPr>
              <a:solidFill>
                <a:srgbClr val="0070C0"/>
              </a:solidFill>
              <a:ln>
                <a:noFill/>
              </a:ln>
            </c:spPr>
          </c:marker>
          <c:xVal>
            <c:numRef>
              <c:f>[0]!range_ex1</c:f>
              <c:numCache>
                <c:formatCode>General</c:formatCode>
                <c:ptCount val="7"/>
                <c:pt idx="0">
                  <c:v>0</c:v>
                </c:pt>
                <c:pt idx="1">
                  <c:v>2.2175967592203496</c:v>
                </c:pt>
                <c:pt idx="2">
                  <c:v>4.4351935184406992</c:v>
                </c:pt>
                <c:pt idx="3">
                  <c:v>6.6527902776610492</c:v>
                </c:pt>
                <c:pt idx="4">
                  <c:v>8.8703870368813984</c:v>
                </c:pt>
                <c:pt idx="5">
                  <c:v>11.087983796101748</c:v>
                </c:pt>
                <c:pt idx="6">
                  <c:v>13.305580555322098</c:v>
                </c:pt>
              </c:numCache>
            </c:numRef>
          </c:xVal>
          <c:yVal>
            <c:numRef>
              <c:f>[0]!range_ez1</c:f>
              <c:numCache>
                <c:formatCode>General</c:formatCode>
                <c:ptCount val="7"/>
                <c:pt idx="0">
                  <c:v>0.19023972606648309</c:v>
                </c:pt>
                <c:pt idx="1">
                  <c:v>-0.19023972606648309</c:v>
                </c:pt>
                <c:pt idx="2">
                  <c:v>0.19023972606648309</c:v>
                </c:pt>
                <c:pt idx="3">
                  <c:v>-0.19023972606648309</c:v>
                </c:pt>
                <c:pt idx="4">
                  <c:v>0.19023972606648309</c:v>
                </c:pt>
                <c:pt idx="5">
                  <c:v>-0.19023972606648309</c:v>
                </c:pt>
                <c:pt idx="6">
                  <c:v>0.19023972606648309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97F7-4504-8CB1-E34D3C248428}"/>
            </c:ext>
          </c:extLst>
        </c:ser>
        <c:ser>
          <c:idx val="3"/>
          <c:order val="3"/>
          <c:tx>
            <c:v>Extended</c:v>
          </c:tx>
          <c:spPr>
            <a:ln>
              <a:solidFill>
                <a:srgbClr val="00B0F0"/>
              </a:solidFill>
            </a:ln>
          </c:spPr>
          <c:marker>
            <c:symbol val="circle"/>
            <c:size val="5"/>
            <c:spPr>
              <a:solidFill>
                <a:srgbClr val="0070C0"/>
              </a:solidFill>
              <a:ln>
                <a:noFill/>
              </a:ln>
            </c:spPr>
          </c:marker>
          <c:xVal>
            <c:numRef>
              <c:f>[0]!range_ex2</c:f>
              <c:numCache>
                <c:formatCode>General</c:formatCode>
                <c:ptCount val="7"/>
                <c:pt idx="0">
                  <c:v>0</c:v>
                </c:pt>
                <c:pt idx="1">
                  <c:v>2.2175967592203496</c:v>
                </c:pt>
                <c:pt idx="2">
                  <c:v>4.4351935184406992</c:v>
                </c:pt>
                <c:pt idx="3">
                  <c:v>6.6527902776610492</c:v>
                </c:pt>
                <c:pt idx="4">
                  <c:v>8.8703870368813984</c:v>
                </c:pt>
                <c:pt idx="5">
                  <c:v>11.087983796101748</c:v>
                </c:pt>
                <c:pt idx="6">
                  <c:v>13.305580555322098</c:v>
                </c:pt>
              </c:numCache>
            </c:numRef>
          </c:xVal>
          <c:yVal>
            <c:numRef>
              <c:f>[0]!range_ez2</c:f>
              <c:numCache>
                <c:formatCode>General</c:formatCode>
                <c:ptCount val="7"/>
                <c:pt idx="0">
                  <c:v>-0.19023972606648309</c:v>
                </c:pt>
                <c:pt idx="1">
                  <c:v>0.19023972606648309</c:v>
                </c:pt>
                <c:pt idx="2">
                  <c:v>-0.19023972606648309</c:v>
                </c:pt>
                <c:pt idx="3">
                  <c:v>0.19023972606648309</c:v>
                </c:pt>
                <c:pt idx="4">
                  <c:v>-0.19023972606648309</c:v>
                </c:pt>
                <c:pt idx="5">
                  <c:v>0.19023972606648309</c:v>
                </c:pt>
                <c:pt idx="6">
                  <c:v>-0.19023972606648309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97F7-4504-8CB1-E34D3C248428}"/>
            </c:ext>
          </c:extLst>
        </c:ser>
        <c:ser>
          <c:idx val="4"/>
          <c:order val="4"/>
          <c:tx>
            <c:v>Custom</c:v>
          </c:tx>
          <c:spPr>
            <a:ln>
              <a:solidFill>
                <a:srgbClr val="92D050"/>
              </a:solidFill>
            </a:ln>
          </c:spPr>
          <c:marker>
            <c:symbol val="circle"/>
            <c:size val="5"/>
            <c:spPr>
              <a:solidFill>
                <a:srgbClr val="00B050"/>
              </a:solidFill>
              <a:ln>
                <a:noFill/>
              </a:ln>
            </c:spPr>
          </c:marker>
          <c:xVal>
            <c:numRef>
              <c:f>[0]!range_cx1</c:f>
              <c:numCache>
                <c:formatCode>General</c:formatCode>
                <c:ptCount val="7"/>
                <c:pt idx="0">
                  <c:v>0</c:v>
                </c:pt>
                <c:pt idx="1">
                  <c:v>2.1096461187996329</c:v>
                </c:pt>
                <c:pt idx="2">
                  <c:v>4.2192922375992659</c:v>
                </c:pt>
                <c:pt idx="3">
                  <c:v>6.3289383563988988</c:v>
                </c:pt>
                <c:pt idx="4">
                  <c:v>8.4385844751985317</c:v>
                </c:pt>
                <c:pt idx="5">
                  <c:v>10.548230593998165</c:v>
                </c:pt>
                <c:pt idx="6">
                  <c:v>12.657876712797798</c:v>
                </c:pt>
              </c:numCache>
            </c:numRef>
          </c:xVal>
          <c:yVal>
            <c:numRef>
              <c:f>[0]!range_cy1</c:f>
              <c:numCache>
                <c:formatCode>General</c:formatCode>
                <c:ptCount val="7"/>
                <c:pt idx="0">
                  <c:v>0.39111802995823558</c:v>
                </c:pt>
                <c:pt idx="1">
                  <c:v>-0.39111802995823558</c:v>
                </c:pt>
                <c:pt idx="2">
                  <c:v>0.39111802995823558</c:v>
                </c:pt>
                <c:pt idx="3">
                  <c:v>-0.39111802995823558</c:v>
                </c:pt>
                <c:pt idx="4">
                  <c:v>0.39111802995823558</c:v>
                </c:pt>
                <c:pt idx="5">
                  <c:v>-0.39111802995823558</c:v>
                </c:pt>
                <c:pt idx="6">
                  <c:v>0.39111802995823558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97F7-4504-8CB1-E34D3C248428}"/>
            </c:ext>
          </c:extLst>
        </c:ser>
        <c:ser>
          <c:idx val="5"/>
          <c:order val="5"/>
          <c:tx>
            <c:v>Custom</c:v>
          </c:tx>
          <c:spPr>
            <a:ln>
              <a:solidFill>
                <a:srgbClr val="92D050"/>
              </a:solidFill>
            </a:ln>
          </c:spPr>
          <c:marker>
            <c:symbol val="circle"/>
            <c:size val="5"/>
            <c:spPr>
              <a:solidFill>
                <a:srgbClr val="00B050"/>
              </a:solidFill>
              <a:ln>
                <a:noFill/>
              </a:ln>
            </c:spPr>
          </c:marker>
          <c:xVal>
            <c:numRef>
              <c:f>[0]!range_cx2</c:f>
              <c:numCache>
                <c:formatCode>General</c:formatCode>
                <c:ptCount val="7"/>
                <c:pt idx="0">
                  <c:v>0</c:v>
                </c:pt>
                <c:pt idx="1">
                  <c:v>2.1096461187996329</c:v>
                </c:pt>
                <c:pt idx="2">
                  <c:v>4.2192922375992659</c:v>
                </c:pt>
                <c:pt idx="3">
                  <c:v>6.3289383563988988</c:v>
                </c:pt>
                <c:pt idx="4">
                  <c:v>8.4385844751985317</c:v>
                </c:pt>
                <c:pt idx="5">
                  <c:v>10.548230593998165</c:v>
                </c:pt>
                <c:pt idx="6">
                  <c:v>12.657876712797798</c:v>
                </c:pt>
              </c:numCache>
            </c:numRef>
          </c:xVal>
          <c:yVal>
            <c:numRef>
              <c:f>[0]!range_cy2</c:f>
              <c:numCache>
                <c:formatCode>General</c:formatCode>
                <c:ptCount val="7"/>
                <c:pt idx="0">
                  <c:v>-0.39111802995823558</c:v>
                </c:pt>
                <c:pt idx="1">
                  <c:v>0.39111802995823558</c:v>
                </c:pt>
                <c:pt idx="2">
                  <c:v>-0.39111802995823558</c:v>
                </c:pt>
                <c:pt idx="3">
                  <c:v>0.39111802995823558</c:v>
                </c:pt>
                <c:pt idx="4">
                  <c:v>-0.39111802995823558</c:v>
                </c:pt>
                <c:pt idx="5">
                  <c:v>0.39111802995823558</c:v>
                </c:pt>
                <c:pt idx="6">
                  <c:v>-0.39111802995823558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97F7-4504-8CB1-E34D3C2484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2396160"/>
        <c:axId val="92398336"/>
      </c:scatterChart>
      <c:valAx>
        <c:axId val="92396160"/>
        <c:scaling>
          <c:orientation val="minMax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>
                    <a:latin typeface="Segoe UI Semibold" panose="020B0702040204020203" pitchFamily="34" charset="0"/>
                    <a:cs typeface="Segoe UI Semibold" panose="020B0702040204020203" pitchFamily="34" charset="0"/>
                  </a:defRPr>
                </a:pPr>
                <a:r>
                  <a:rPr lang="en-US">
                    <a:latin typeface="Segoe UI Semibold" panose="020B0702040204020203" pitchFamily="34" charset="0"/>
                    <a:cs typeface="Segoe UI Semibold" panose="020B0702040204020203" pitchFamily="34" charset="0"/>
                  </a:rPr>
                  <a:t>X-axis Extension (inches)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800"/>
            </a:pPr>
            <a:endParaRPr lang="en-US"/>
          </a:p>
        </c:txPr>
        <c:crossAx val="92398336"/>
        <c:crossesAt val="-9999999"/>
        <c:crossBetween val="midCat"/>
      </c:valAx>
      <c:valAx>
        <c:axId val="92398336"/>
        <c:scaling>
          <c:orientation val="minMax"/>
        </c:scaling>
        <c:delete val="0"/>
        <c:axPos val="l"/>
        <c:minorGridlines/>
        <c:title>
          <c:tx>
            <c:rich>
              <a:bodyPr/>
              <a:lstStyle/>
              <a:p>
                <a:pPr>
                  <a:defRPr>
                    <a:latin typeface="Segoe UI Semibold" panose="020B0702040204020203" pitchFamily="34" charset="0"/>
                    <a:cs typeface="Segoe UI Semibold" panose="020B0702040204020203" pitchFamily="34" charset="0"/>
                  </a:defRPr>
                </a:pPr>
                <a:r>
                  <a:rPr lang="en-US">
                    <a:latin typeface="Segoe UI Semibold" panose="020B0702040204020203" pitchFamily="34" charset="0"/>
                    <a:cs typeface="Segoe UI Semibold" panose="020B0702040204020203" pitchFamily="34" charset="0"/>
                  </a:rPr>
                  <a:t>Y-axis Width (inches)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800"/>
            </a:pPr>
            <a:endParaRPr lang="en-US"/>
          </a:p>
        </c:txPr>
        <c:crossAx val="92396160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 sz="2000">
          <a:latin typeface="Segoe UI Light" panose="020B0502040204020203" pitchFamily="34" charset="0"/>
          <a:cs typeface="Segoe UI Light" panose="020B0502040204020203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Metric...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Sheet1!$AC$33</c:f>
              <c:strCache>
                <c:ptCount val="1"/>
                <c:pt idx="0">
                  <c:v>2 segment (w/o extra)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Sheet1!$AF$35:$AF$41</c:f>
              <c:numCache>
                <c:formatCode>General</c:formatCode>
                <c:ptCount val="7"/>
                <c:pt idx="0">
                  <c:v>0</c:v>
                </c:pt>
                <c:pt idx="1">
                  <c:v>56.326945402115349</c:v>
                </c:pt>
                <c:pt idx="2">
                  <c:v>112.65387523691199</c:v>
                </c:pt>
                <c:pt idx="3">
                  <c:v>168.98078904982125</c:v>
                </c:pt>
                <c:pt idx="4">
                  <c:v>225.30768684084543</c:v>
                </c:pt>
                <c:pt idx="5">
                  <c:v>281.63456860998679</c:v>
                </c:pt>
                <c:pt idx="6">
                  <c:v>337.96143435724764</c:v>
                </c:pt>
              </c:numCache>
            </c:numRef>
          </c:xVal>
          <c:yVal>
            <c:numRef>
              <c:f>Sheet1!$AG$35:$AG$41</c:f>
              <c:numCache>
                <c:formatCode>General</c:formatCode>
                <c:ptCount val="7"/>
                <c:pt idx="0">
                  <c:v>0</c:v>
                </c:pt>
                <c:pt idx="1">
                  <c:v>-3.7197102328563152E-2</c:v>
                </c:pt>
                <c:pt idx="2">
                  <c:v>-0.10443524346510971</c:v>
                </c:pt>
                <c:pt idx="3">
                  <c:v>-0.20171441913713606</c:v>
                </c:pt>
                <c:pt idx="4">
                  <c:v>-0.32903462507213921</c:v>
                </c:pt>
                <c:pt idx="5">
                  <c:v>-0.48639585699761684</c:v>
                </c:pt>
                <c:pt idx="6">
                  <c:v>-0.67379811064106709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16C-4B88-9040-C82093AF6507}"/>
            </c:ext>
          </c:extLst>
        </c:ser>
        <c:ser>
          <c:idx val="1"/>
          <c:order val="1"/>
          <c:tx>
            <c:strRef>
              <c:f>Sheet1!$AH$33</c:f>
              <c:strCache>
                <c:ptCount val="1"/>
                <c:pt idx="0">
                  <c:v>2 segment (w/ extra)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Sheet1!$AK$35:$AK$41</c:f>
              <c:numCache>
                <c:formatCode>General</c:formatCode>
                <c:ptCount val="7"/>
                <c:pt idx="0">
                  <c:v>0</c:v>
                </c:pt>
                <c:pt idx="1">
                  <c:v>56.32695412255719</c:v>
                </c:pt>
                <c:pt idx="2">
                  <c:v>112.65390575688915</c:v>
                </c:pt>
                <c:pt idx="3">
                  <c:v>168.98085444842505</c:v>
                </c:pt>
                <c:pt idx="4">
                  <c:v>225.30780019716499</c:v>
                </c:pt>
                <c:pt idx="5">
                  <c:v>281.63474300310907</c:v>
                </c:pt>
                <c:pt idx="6">
                  <c:v>337.96168286625732</c:v>
                </c:pt>
              </c:numCache>
            </c:numRef>
          </c:xVal>
          <c:yVal>
            <c:numRef>
              <c:f>Sheet1!$AL$35:$AL$41</c:f>
              <c:numCache>
                <c:formatCode>General</c:formatCode>
                <c:ptCount val="7"/>
                <c:pt idx="0">
                  <c:v>0</c:v>
                </c:pt>
                <c:pt idx="1">
                  <c:v>-2.0030792384636936E-2</c:v>
                </c:pt>
                <c:pt idx="2">
                  <c:v>-5.2936317430979804E-2</c:v>
                </c:pt>
                <c:pt idx="3">
                  <c:v>-9.871657480270904E-2</c:v>
                </c:pt>
                <c:pt idx="4">
                  <c:v>-0.15737156416350512</c:v>
                </c:pt>
                <c:pt idx="5">
                  <c:v>-0.2289012851770485</c:v>
                </c:pt>
                <c:pt idx="6">
                  <c:v>-0.31330573750701962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16C-4B88-9040-C82093AF6507}"/>
            </c:ext>
          </c:extLst>
        </c:ser>
        <c:ser>
          <c:idx val="2"/>
          <c:order val="2"/>
          <c:tx>
            <c:strRef>
              <c:f>Sheet1!$AM$33</c:f>
              <c:strCache>
                <c:ptCount val="1"/>
                <c:pt idx="0">
                  <c:v>3 segment (w/o extra)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Sheet1!$AP$35:$AP$41</c:f>
              <c:numCache>
                <c:formatCode>General</c:formatCode>
                <c:ptCount val="7"/>
                <c:pt idx="0">
                  <c:v>0</c:v>
                </c:pt>
                <c:pt idx="1">
                  <c:v>56.32693994181669</c:v>
                </c:pt>
                <c:pt idx="2">
                  <c:v>112.65385530400198</c:v>
                </c:pt>
                <c:pt idx="3">
                  <c:v>168.98074563199049</c:v>
                </c:pt>
                <c:pt idx="4">
                  <c:v>225.30761092578777</c:v>
                </c:pt>
                <c:pt idx="5">
                  <c:v>281.63445118539937</c:v>
                </c:pt>
                <c:pt idx="6">
                  <c:v>337.96126641083089</c:v>
                </c:pt>
              </c:numCache>
            </c:numRef>
          </c:xVal>
          <c:yVal>
            <c:numRef>
              <c:f>Sheet1!$AQ$35:$AQ$41</c:f>
              <c:numCache>
                <c:formatCode>General</c:formatCode>
                <c:ptCount val="7"/>
                <c:pt idx="0">
                  <c:v>0</c:v>
                </c:pt>
                <c:pt idx="1">
                  <c:v>-4.4707362720028426E-2</c:v>
                </c:pt>
                <c:pt idx="2">
                  <c:v>-0.12696602062788417</c:v>
                </c:pt>
                <c:pt idx="3">
                  <c:v>-0.24677596537883406</c:v>
                </c:pt>
                <c:pt idx="4">
                  <c:v>-0.40413718862814674</c:v>
                </c:pt>
                <c:pt idx="5">
                  <c:v>-0.59904968203109266</c:v>
                </c:pt>
                <c:pt idx="6">
                  <c:v>-0.83151343724294424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416C-4B88-9040-C82093AF6507}"/>
            </c:ext>
          </c:extLst>
        </c:ser>
        <c:ser>
          <c:idx val="3"/>
          <c:order val="3"/>
          <c:tx>
            <c:strRef>
              <c:f>Sheet1!$AR$33</c:f>
              <c:strCache>
                <c:ptCount val="1"/>
                <c:pt idx="0">
                  <c:v>3 segment (w/ extra)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Sheet1!$AU$35:$AU$41</c:f>
              <c:numCache>
                <c:formatCode>General</c:formatCode>
                <c:ptCount val="7"/>
                <c:pt idx="0">
                  <c:v>0</c:v>
                </c:pt>
                <c:pt idx="1">
                  <c:v>56.326948072691955</c:v>
                </c:pt>
                <c:pt idx="2">
                  <c:v>112.65388482877054</c:v>
                </c:pt>
                <c:pt idx="3">
                  <c:v>168.98080981366607</c:v>
                </c:pt>
                <c:pt idx="4">
                  <c:v>225.30772302737978</c:v>
                </c:pt>
                <c:pt idx="5">
                  <c:v>281.63462446991286</c:v>
                </c:pt>
                <c:pt idx="6">
                  <c:v>337.9615141412666</c:v>
                </c:pt>
              </c:numCache>
            </c:numRef>
          </c:xVal>
          <c:yVal>
            <c:numRef>
              <c:f>Sheet1!$AV$35:$AV$41</c:f>
              <c:numCache>
                <c:formatCode>General</c:formatCode>
                <c:ptCount val="7"/>
                <c:pt idx="0">
                  <c:v>0</c:v>
                </c:pt>
                <c:pt idx="1">
                  <c:v>-3.2905524904892881E-2</c:v>
                </c:pt>
                <c:pt idx="2">
                  <c:v>-9.1560512741412581E-2</c:v>
                </c:pt>
                <c:pt idx="3">
                  <c:v>-0.17596496081900281</c:v>
                </c:pt>
                <c:pt idx="4">
                  <c:v>-0.2861188664471076</c:v>
                </c:pt>
                <c:pt idx="5">
                  <c:v>-0.42202222693517122</c:v>
                </c:pt>
                <c:pt idx="6">
                  <c:v>-0.58367503959263822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416C-4B88-9040-C82093AF65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2414720"/>
        <c:axId val="92417024"/>
      </c:scatterChart>
      <c:valAx>
        <c:axId val="924147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X-axis</a:t>
                </a:r>
                <a:r>
                  <a:rPr lang="en-US" b="1" baseline="0"/>
                  <a:t> Extension [mm]</a:t>
                </a:r>
                <a:endParaRPr lang="en-US" b="1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2417024"/>
        <c:crossesAt val="-99999"/>
        <c:crossBetween val="midCat"/>
      </c:valAx>
      <c:valAx>
        <c:axId val="92417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Z-axis</a:t>
                </a:r>
                <a:r>
                  <a:rPr lang="en-US" b="1" baseline="0"/>
                  <a:t> Sag [mm]</a:t>
                </a:r>
                <a:endParaRPr lang="en-US" b="1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241472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l"/>
      <c:layout>
        <c:manualLayout>
          <c:xMode val="edge"/>
          <c:yMode val="edge"/>
          <c:x val="0.17222222222222222"/>
          <c:y val="0.4409711286089239"/>
          <c:w val="0.19968659368453776"/>
          <c:h val="0.31250218722659673"/>
        </c:manualLayout>
      </c:layout>
      <c:overlay val="1"/>
      <c:spPr>
        <a:solidFill>
          <a:schemeClr val="bg1"/>
        </a:solidFill>
        <a:ln>
          <a:solidFill>
            <a:schemeClr val="bg1">
              <a:lumMod val="75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0" i="0" u="none" strike="noStrike" kern="1200" spc="0" baseline="0">
                <a:solidFill>
                  <a:sysClr val="windowText" lastClr="000000"/>
                </a:solidFill>
                <a:latin typeface="Segoe UI Semibold" panose="020B0702040204020203" pitchFamily="34" charset="0"/>
                <a:ea typeface="+mn-ea"/>
                <a:cs typeface="Segoe UI Semibold" panose="020B0702040204020203" pitchFamily="34" charset="0"/>
              </a:defRPr>
            </a:pPr>
            <a:r>
              <a:rPr lang="en-US">
                <a:latin typeface="Segoe UI Semibold" panose="020B0702040204020203" pitchFamily="34" charset="0"/>
                <a:cs typeface="Segoe UI Semibold" panose="020B0702040204020203" pitchFamily="34" charset="0"/>
              </a:rPr>
              <a:t>Predicted Sag vs. Scissor Extension</a:t>
            </a:r>
          </a:p>
        </c:rich>
      </c:tx>
      <c:layout>
        <c:manualLayout>
          <c:xMode val="edge"/>
          <c:yMode val="edge"/>
          <c:x val="0.24824469317285727"/>
          <c:y val="5.13777641130006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ysClr val="windowText" lastClr="000000"/>
              </a:solidFill>
              <a:latin typeface="Segoe UI Semibold" panose="020B0702040204020203" pitchFamily="34" charset="0"/>
              <a:ea typeface="+mn-ea"/>
              <a:cs typeface="Segoe UI Semibold" panose="020B0702040204020203" pitchFamily="34" charset="0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Sheet1!$I$33</c:f>
              <c:strCache>
                <c:ptCount val="1"/>
                <c:pt idx="0">
                  <c:v>2 segment (w/o extra)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Sheet1!$L$35:$L$41</c:f>
              <c:numCache>
                <c:formatCode>General</c:formatCode>
                <c:ptCount val="7"/>
                <c:pt idx="0">
                  <c:v>0</c:v>
                </c:pt>
                <c:pt idx="1">
                  <c:v>2.217596275673833</c:v>
                </c:pt>
                <c:pt idx="2">
                  <c:v>4.4351919384611023</c:v>
                </c:pt>
                <c:pt idx="3">
                  <c:v>6.6527869704654048</c:v>
                </c:pt>
                <c:pt idx="4">
                  <c:v>8.8703813716868289</c:v>
                </c:pt>
                <c:pt idx="5">
                  <c:v>11.087975142125465</c:v>
                </c:pt>
                <c:pt idx="6">
                  <c:v>13.305568281781404</c:v>
                </c:pt>
              </c:numCache>
            </c:numRef>
          </c:xVal>
          <c:yVal>
            <c:numRef>
              <c:f>Sheet1!$M$35:$M$41</c:f>
              <c:numCache>
                <c:formatCode>General</c:formatCode>
                <c:ptCount val="7"/>
                <c:pt idx="0">
                  <c:v>0</c:v>
                </c:pt>
                <c:pt idx="1">
                  <c:v>-1.4644528475812265E-3</c:v>
                </c:pt>
                <c:pt idx="2">
                  <c:v>-4.1116237584688867E-3</c:v>
                </c:pt>
                <c:pt idx="3">
                  <c:v>-7.9415125644541756E-3</c:v>
                </c:pt>
                <c:pt idx="4">
                  <c:v>-1.2954119097328316E-2</c:v>
                </c:pt>
                <c:pt idx="5">
                  <c:v>-1.9149443188882551E-2</c:v>
                </c:pt>
                <c:pt idx="6">
                  <c:v>-2.6527484670908152E-2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F0E-4141-824B-0C9A85517F5A}"/>
            </c:ext>
          </c:extLst>
        </c:ser>
        <c:ser>
          <c:idx val="1"/>
          <c:order val="1"/>
          <c:tx>
            <c:strRef>
              <c:f>Sheet1!$N$33</c:f>
              <c:strCache>
                <c:ptCount val="1"/>
                <c:pt idx="0">
                  <c:v>2 segment (w/ extra)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Sheet1!$Q$35:$Q$41</c:f>
              <c:numCache>
                <c:formatCode>General</c:formatCode>
                <c:ptCount val="7"/>
                <c:pt idx="0">
                  <c:v>0</c:v>
                </c:pt>
                <c:pt idx="1">
                  <c:v>2.217596275673833</c:v>
                </c:pt>
                <c:pt idx="2">
                  <c:v>4.4351926422330443</c:v>
                </c:pt>
                <c:pt idx="3">
                  <c:v>6.6527888929341481</c:v>
                </c:pt>
                <c:pt idx="4">
                  <c:v>8.8703850277771465</c:v>
                </c:pt>
                <c:pt idx="5">
                  <c:v>11.087981046762044</c:v>
                </c:pt>
                <c:pt idx="6">
                  <c:v>13.305576949888843</c:v>
                </c:pt>
              </c:numCache>
            </c:numRef>
          </c:xVal>
          <c:yVal>
            <c:numRef>
              <c:f>Sheet1!$R$35:$R$41</c:f>
              <c:numCache>
                <c:formatCode>General</c:formatCode>
                <c:ptCount val="7"/>
                <c:pt idx="0">
                  <c:v>0</c:v>
                </c:pt>
                <c:pt idx="1">
                  <c:v>-1.4644528475812265E-3</c:v>
                </c:pt>
                <c:pt idx="2">
                  <c:v>-3.4357849161577234E-3</c:v>
                </c:pt>
                <c:pt idx="3">
                  <c:v>-5.9139961924885645E-3</c:v>
                </c:pt>
                <c:pt idx="4">
                  <c:v>-8.8990866633328232E-3</c:v>
                </c:pt>
                <c:pt idx="5">
                  <c:v>-1.2391056315449572E-2</c:v>
                </c:pt>
                <c:pt idx="6">
                  <c:v>-1.6389905135597887E-2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F0E-4141-824B-0C9A85517F5A}"/>
            </c:ext>
          </c:extLst>
        </c:ser>
        <c:ser>
          <c:idx val="2"/>
          <c:order val="2"/>
          <c:tx>
            <c:strRef>
              <c:f>Sheet1!$S$33</c:f>
              <c:strCache>
                <c:ptCount val="1"/>
                <c:pt idx="0">
                  <c:v>3 segment (w/o extra)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Sheet1!$V$35:$V$41</c:f>
              <c:numCache>
                <c:formatCode>General</c:formatCode>
                <c:ptCount val="7"/>
                <c:pt idx="0">
                  <c:v>0</c:v>
                </c:pt>
                <c:pt idx="1">
                  <c:v>2.2175960607014447</c:v>
                </c:pt>
                <c:pt idx="2">
                  <c:v>4.4351911537008659</c:v>
                </c:pt>
                <c:pt idx="3">
                  <c:v>6.6527852611019878</c:v>
                </c:pt>
                <c:pt idx="4">
                  <c:v>8.8703783829050309</c:v>
                </c:pt>
                <c:pt idx="5">
                  <c:v>11.087970519110213</c:v>
                </c:pt>
                <c:pt idx="6">
                  <c:v>13.305561669717752</c:v>
                </c:pt>
              </c:numCache>
            </c:numRef>
          </c:xVal>
          <c:yVal>
            <c:numRef>
              <c:f>Sheet1!$W$35:$W$41</c:f>
              <c:numCache>
                <c:formatCode>General</c:formatCode>
                <c:ptCount val="7"/>
                <c:pt idx="0">
                  <c:v>0</c:v>
                </c:pt>
                <c:pt idx="1">
                  <c:v>-1.7601323905523003E-3</c:v>
                </c:pt>
                <c:pt idx="2">
                  <c:v>-4.9986622294442597E-3</c:v>
                </c:pt>
                <c:pt idx="3">
                  <c:v>-9.7155891881430742E-3</c:v>
                </c:pt>
                <c:pt idx="4">
                  <c:v>-1.5910912938116015E-2</c:v>
                </c:pt>
                <c:pt idx="5">
                  <c:v>-2.3584633150830425E-2</c:v>
                </c:pt>
                <c:pt idx="6">
                  <c:v>-3.2736749497753723E-2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4F0E-4141-824B-0C9A85517F5A}"/>
            </c:ext>
          </c:extLst>
        </c:ser>
        <c:ser>
          <c:idx val="3"/>
          <c:order val="3"/>
          <c:tx>
            <c:strRef>
              <c:f>Sheet1!$X$33</c:f>
              <c:strCache>
                <c:ptCount val="1"/>
                <c:pt idx="0">
                  <c:v>3 segment (w/ extra)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Sheet1!$AA$35:$AA$41</c:f>
              <c:numCache>
                <c:formatCode>General</c:formatCode>
                <c:ptCount val="7"/>
                <c:pt idx="0">
                  <c:v>0</c:v>
                </c:pt>
                <c:pt idx="1">
                  <c:v>2.2175963808146442</c:v>
                </c:pt>
                <c:pt idx="2">
                  <c:v>4.4351923160933282</c:v>
                </c:pt>
                <c:pt idx="3">
                  <c:v>6.6527877879396087</c:v>
                </c:pt>
                <c:pt idx="4">
                  <c:v>8.8703827963535353</c:v>
                </c:pt>
                <c:pt idx="5">
                  <c:v>11.087977341335154</c:v>
                </c:pt>
                <c:pt idx="6">
                  <c:v>13.305571422884515</c:v>
                </c:pt>
              </c:numCache>
            </c:numRef>
          </c:xVal>
          <c:yVal>
            <c:numRef>
              <c:f>Sheet1!$AB$35:$AB$41</c:f>
              <c:numCache>
                <c:formatCode>General</c:formatCode>
                <c:ptCount val="7"/>
                <c:pt idx="0">
                  <c:v>0</c:v>
                </c:pt>
                <c:pt idx="1">
                  <c:v>-1.2954931064918457E-3</c:v>
                </c:pt>
                <c:pt idx="2">
                  <c:v>-3.6047445961186054E-3</c:v>
                </c:pt>
                <c:pt idx="3">
                  <c:v>-6.9277543629528669E-3</c:v>
                </c:pt>
                <c:pt idx="4">
                  <c:v>-1.1264522301067229E-2</c:v>
                </c:pt>
                <c:pt idx="5">
                  <c:v>-1.6615048304534301E-2</c:v>
                </c:pt>
                <c:pt idx="6">
                  <c:v>-2.2979332267426704E-2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4F0E-4141-824B-0C9A85517F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2433024"/>
        <c:axId val="92443776"/>
      </c:scatterChart>
      <c:valAx>
        <c:axId val="924330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2000" b="0" i="0" u="none" strike="noStrike" kern="1200" baseline="0">
                    <a:solidFill>
                      <a:sysClr val="windowText" lastClr="000000"/>
                    </a:solidFill>
                    <a:latin typeface="Segoe UI Semibold" panose="020B0702040204020203" pitchFamily="34" charset="0"/>
                    <a:ea typeface="+mn-ea"/>
                    <a:cs typeface="Segoe UI Semibold" panose="020B0702040204020203" pitchFamily="34" charset="0"/>
                  </a:defRPr>
                </a:pPr>
                <a:r>
                  <a:rPr lang="en-US">
                    <a:latin typeface="Segoe UI Semibold" panose="020B0702040204020203" pitchFamily="34" charset="0"/>
                    <a:cs typeface="Segoe UI Semibold" panose="020B0702040204020203" pitchFamily="34" charset="0"/>
                  </a:rPr>
                  <a:t>X-axis Extension [inches]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2000" b="0" i="0" u="none" strike="noStrike" kern="1200" baseline="0">
                  <a:solidFill>
                    <a:sysClr val="windowText" lastClr="000000"/>
                  </a:solidFill>
                  <a:latin typeface="Segoe UI Semibold" panose="020B0702040204020203" pitchFamily="34" charset="0"/>
                  <a:ea typeface="+mn-ea"/>
                  <a:cs typeface="Segoe UI Semibold" panose="020B0702040204020203" pitchFamily="34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ysClr val="windowText" lastClr="000000"/>
                </a:solidFill>
                <a:latin typeface="Segoe UI Light" panose="020B0502040204020203" pitchFamily="34" charset="0"/>
                <a:ea typeface="+mn-ea"/>
                <a:cs typeface="Segoe UI Light" panose="020B0502040204020203" pitchFamily="34" charset="0"/>
              </a:defRPr>
            </a:pPr>
            <a:endParaRPr lang="en-US"/>
          </a:p>
        </c:txPr>
        <c:crossAx val="92443776"/>
        <c:crossesAt val="-99999"/>
        <c:crossBetween val="midCat"/>
      </c:valAx>
      <c:valAx>
        <c:axId val="92443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2000" b="0" i="0" u="none" strike="noStrike" kern="1200" baseline="0">
                    <a:solidFill>
                      <a:sysClr val="windowText" lastClr="000000"/>
                    </a:solidFill>
                    <a:latin typeface="Segoe UI Semibold" panose="020B0702040204020203" pitchFamily="34" charset="0"/>
                    <a:ea typeface="+mn-ea"/>
                    <a:cs typeface="Segoe UI Semibold" panose="020B0702040204020203" pitchFamily="34" charset="0"/>
                  </a:defRPr>
                </a:pPr>
                <a:r>
                  <a:rPr lang="en-US">
                    <a:latin typeface="Segoe UI Semibold" panose="020B0702040204020203" pitchFamily="34" charset="0"/>
                    <a:cs typeface="Segoe UI Semibold" panose="020B0702040204020203" pitchFamily="34" charset="0"/>
                  </a:rPr>
                  <a:t>Z-axis Sag [inches]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000" b="0" i="0" u="none" strike="noStrike" kern="1200" baseline="0">
                  <a:solidFill>
                    <a:sysClr val="windowText" lastClr="000000"/>
                  </a:solidFill>
                  <a:latin typeface="Segoe UI Semibold" panose="020B0702040204020203" pitchFamily="34" charset="0"/>
                  <a:ea typeface="+mn-ea"/>
                  <a:cs typeface="Segoe UI Semibold" panose="020B0702040204020203" pitchFamily="34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ysClr val="windowText" lastClr="000000"/>
                </a:solidFill>
                <a:latin typeface="Segoe UI Light" panose="020B0502040204020203" pitchFamily="34" charset="0"/>
                <a:ea typeface="+mn-ea"/>
                <a:cs typeface="Segoe UI Light" panose="020B0502040204020203" pitchFamily="34" charset="0"/>
              </a:defRPr>
            </a:pPr>
            <a:endParaRPr lang="en-US"/>
          </a:p>
        </c:txPr>
        <c:crossAx val="9243302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l"/>
      <c:legendEntry>
        <c:idx val="2"/>
        <c:txPr>
          <a:bodyPr rot="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ysClr val="windowText" lastClr="000000"/>
                </a:solidFill>
                <a:latin typeface="Segoe UI Semibold" panose="020B0702040204020203" pitchFamily="34" charset="0"/>
                <a:ea typeface="+mn-ea"/>
                <a:cs typeface="Segoe UI Semibold" panose="020B0702040204020203" pitchFamily="34" charset="0"/>
              </a:defRPr>
            </a:pPr>
            <a:endParaRPr lang="en-US"/>
          </a:p>
        </c:txPr>
      </c:legendEntry>
      <c:layout>
        <c:manualLayout>
          <c:xMode val="edge"/>
          <c:yMode val="edge"/>
          <c:x val="0.20085024860244413"/>
          <c:y val="0.41074892312539585"/>
          <c:w val="0.34956273629895357"/>
          <c:h val="0.31854665893422196"/>
        </c:manualLayout>
      </c:layout>
      <c:overlay val="1"/>
      <c:spPr>
        <a:solidFill>
          <a:schemeClr val="bg1"/>
        </a:solidFill>
        <a:ln>
          <a:solidFill>
            <a:schemeClr val="bg1">
              <a:lumMod val="75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baseline="0">
              <a:solidFill>
                <a:sysClr val="windowText" lastClr="000000"/>
              </a:solidFill>
              <a:latin typeface="Segoe UI Light" panose="020B0502040204020203" pitchFamily="34" charset="0"/>
              <a:ea typeface="+mn-ea"/>
              <a:cs typeface="Segoe UI Light" panose="020B0502040204020203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2000">
          <a:solidFill>
            <a:sysClr val="windowText" lastClr="000000"/>
          </a:solidFill>
          <a:latin typeface="Segoe UI Light" panose="020B0502040204020203" pitchFamily="34" charset="0"/>
          <a:cs typeface="Segoe UI Light" panose="020B0502040204020203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Scissor Actuator Joint Locations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Fully Retracted</c:v>
          </c:tx>
          <c:spPr>
            <a:ln>
              <a:solidFill>
                <a:srgbClr val="FF0000"/>
              </a:solidFill>
            </a:ln>
          </c:spPr>
          <c:marker>
            <c:symbol val="circle"/>
            <c:size val="5"/>
            <c:spPr>
              <a:solidFill>
                <a:srgbClr val="C00000"/>
              </a:solidFill>
              <a:ln>
                <a:noFill/>
              </a:ln>
            </c:spPr>
          </c:marker>
          <c:xVal>
            <c:numRef>
              <c:f>[0]!range_rx1</c:f>
              <c:numCache>
                <c:formatCode>General</c:formatCode>
                <c:ptCount val="7"/>
                <c:pt idx="0">
                  <c:v>0</c:v>
                </c:pt>
                <c:pt idx="1">
                  <c:v>0.38047945213296619</c:v>
                </c:pt>
                <c:pt idx="2">
                  <c:v>0.76095890426593238</c:v>
                </c:pt>
                <c:pt idx="3">
                  <c:v>1.1414383563988986</c:v>
                </c:pt>
                <c:pt idx="4">
                  <c:v>1.5219178085318648</c:v>
                </c:pt>
                <c:pt idx="5">
                  <c:v>1.9023972606648309</c:v>
                </c:pt>
                <c:pt idx="6">
                  <c:v>2.2828767127977971</c:v>
                </c:pt>
              </c:numCache>
            </c:numRef>
          </c:xVal>
          <c:yVal>
            <c:numRef>
              <c:f>[0]!range_rz1</c:f>
              <c:numCache>
                <c:formatCode>General</c:formatCode>
                <c:ptCount val="7"/>
                <c:pt idx="0">
                  <c:v>1.1087983796101748</c:v>
                </c:pt>
                <c:pt idx="1">
                  <c:v>-1.1087983796101748</c:v>
                </c:pt>
                <c:pt idx="2">
                  <c:v>1.1087983796101748</c:v>
                </c:pt>
                <c:pt idx="3">
                  <c:v>-1.1087983796101748</c:v>
                </c:pt>
                <c:pt idx="4">
                  <c:v>1.1087983796101748</c:v>
                </c:pt>
                <c:pt idx="5">
                  <c:v>-1.1087983796101748</c:v>
                </c:pt>
                <c:pt idx="6">
                  <c:v>1.1087983796101748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35E-47EC-B4BE-7E5BD34A7B04}"/>
            </c:ext>
          </c:extLst>
        </c:ser>
        <c:ser>
          <c:idx val="1"/>
          <c:order val="1"/>
          <c:tx>
            <c:v>Fully Retracted</c:v>
          </c:tx>
          <c:spPr>
            <a:ln>
              <a:solidFill>
                <a:srgbClr val="FF0000"/>
              </a:solidFill>
            </a:ln>
          </c:spPr>
          <c:marker>
            <c:symbol val="circle"/>
            <c:size val="5"/>
            <c:spPr>
              <a:solidFill>
                <a:srgbClr val="C00000"/>
              </a:solidFill>
              <a:ln>
                <a:noFill/>
              </a:ln>
            </c:spPr>
          </c:marker>
          <c:xVal>
            <c:numRef>
              <c:f>[0]!range_rx2</c:f>
              <c:numCache>
                <c:formatCode>General</c:formatCode>
                <c:ptCount val="7"/>
                <c:pt idx="0">
                  <c:v>0</c:v>
                </c:pt>
                <c:pt idx="1">
                  <c:v>0.38047945213296619</c:v>
                </c:pt>
                <c:pt idx="2">
                  <c:v>0.76095890426593238</c:v>
                </c:pt>
                <c:pt idx="3">
                  <c:v>1.1414383563988986</c:v>
                </c:pt>
                <c:pt idx="4">
                  <c:v>1.5219178085318648</c:v>
                </c:pt>
                <c:pt idx="5">
                  <c:v>1.9023972606648309</c:v>
                </c:pt>
                <c:pt idx="6">
                  <c:v>2.2828767127977971</c:v>
                </c:pt>
              </c:numCache>
            </c:numRef>
          </c:xVal>
          <c:yVal>
            <c:numRef>
              <c:f>[0]!range_rz2</c:f>
              <c:numCache>
                <c:formatCode>General</c:formatCode>
                <c:ptCount val="7"/>
                <c:pt idx="0">
                  <c:v>-1.1087983796101748</c:v>
                </c:pt>
                <c:pt idx="1">
                  <c:v>1.1087983796101748</c:v>
                </c:pt>
                <c:pt idx="2">
                  <c:v>-1.1087983796101748</c:v>
                </c:pt>
                <c:pt idx="3">
                  <c:v>1.1087983796101748</c:v>
                </c:pt>
                <c:pt idx="4">
                  <c:v>-1.1087983796101748</c:v>
                </c:pt>
                <c:pt idx="5">
                  <c:v>1.1087983796101748</c:v>
                </c:pt>
                <c:pt idx="6">
                  <c:v>-1.1087983796101748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35E-47EC-B4BE-7E5BD34A7B04}"/>
            </c:ext>
          </c:extLst>
        </c:ser>
        <c:ser>
          <c:idx val="2"/>
          <c:order val="2"/>
          <c:tx>
            <c:v>Fully Extended</c:v>
          </c:tx>
          <c:spPr>
            <a:ln>
              <a:solidFill>
                <a:srgbClr val="00B0F0"/>
              </a:solidFill>
            </a:ln>
          </c:spPr>
          <c:marker>
            <c:symbol val="circle"/>
            <c:size val="5"/>
            <c:spPr>
              <a:solidFill>
                <a:srgbClr val="0070C0"/>
              </a:solidFill>
              <a:ln>
                <a:noFill/>
              </a:ln>
            </c:spPr>
          </c:marker>
          <c:xVal>
            <c:numRef>
              <c:f>[0]!range_ex1</c:f>
              <c:numCache>
                <c:formatCode>General</c:formatCode>
                <c:ptCount val="7"/>
                <c:pt idx="0">
                  <c:v>0</c:v>
                </c:pt>
                <c:pt idx="1">
                  <c:v>2.2175967592203496</c:v>
                </c:pt>
                <c:pt idx="2">
                  <c:v>4.4351935184406992</c:v>
                </c:pt>
                <c:pt idx="3">
                  <c:v>6.6527902776610492</c:v>
                </c:pt>
                <c:pt idx="4">
                  <c:v>8.8703870368813984</c:v>
                </c:pt>
                <c:pt idx="5">
                  <c:v>11.087983796101748</c:v>
                </c:pt>
                <c:pt idx="6">
                  <c:v>13.305580555322098</c:v>
                </c:pt>
              </c:numCache>
            </c:numRef>
          </c:xVal>
          <c:yVal>
            <c:numRef>
              <c:f>[0]!range_ez1</c:f>
              <c:numCache>
                <c:formatCode>General</c:formatCode>
                <c:ptCount val="7"/>
                <c:pt idx="0">
                  <c:v>0.19023972606648309</c:v>
                </c:pt>
                <c:pt idx="1">
                  <c:v>-0.19023972606648309</c:v>
                </c:pt>
                <c:pt idx="2">
                  <c:v>0.19023972606648309</c:v>
                </c:pt>
                <c:pt idx="3">
                  <c:v>-0.19023972606648309</c:v>
                </c:pt>
                <c:pt idx="4">
                  <c:v>0.19023972606648309</c:v>
                </c:pt>
                <c:pt idx="5">
                  <c:v>-0.19023972606648309</c:v>
                </c:pt>
                <c:pt idx="6">
                  <c:v>0.19023972606648309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335E-47EC-B4BE-7E5BD34A7B04}"/>
            </c:ext>
          </c:extLst>
        </c:ser>
        <c:ser>
          <c:idx val="3"/>
          <c:order val="3"/>
          <c:tx>
            <c:v>Fully Extended</c:v>
          </c:tx>
          <c:spPr>
            <a:ln>
              <a:solidFill>
                <a:srgbClr val="00B0F0"/>
              </a:solidFill>
            </a:ln>
          </c:spPr>
          <c:marker>
            <c:symbol val="circle"/>
            <c:size val="5"/>
            <c:spPr>
              <a:solidFill>
                <a:srgbClr val="0070C0"/>
              </a:solidFill>
              <a:ln>
                <a:noFill/>
              </a:ln>
            </c:spPr>
          </c:marker>
          <c:xVal>
            <c:numRef>
              <c:f>[0]!range_ex2</c:f>
              <c:numCache>
                <c:formatCode>General</c:formatCode>
                <c:ptCount val="7"/>
                <c:pt idx="0">
                  <c:v>0</c:v>
                </c:pt>
                <c:pt idx="1">
                  <c:v>2.2175967592203496</c:v>
                </c:pt>
                <c:pt idx="2">
                  <c:v>4.4351935184406992</c:v>
                </c:pt>
                <c:pt idx="3">
                  <c:v>6.6527902776610492</c:v>
                </c:pt>
                <c:pt idx="4">
                  <c:v>8.8703870368813984</c:v>
                </c:pt>
                <c:pt idx="5">
                  <c:v>11.087983796101748</c:v>
                </c:pt>
                <c:pt idx="6">
                  <c:v>13.305580555322098</c:v>
                </c:pt>
              </c:numCache>
            </c:numRef>
          </c:xVal>
          <c:yVal>
            <c:numRef>
              <c:f>[0]!range_ez2</c:f>
              <c:numCache>
                <c:formatCode>General</c:formatCode>
                <c:ptCount val="7"/>
                <c:pt idx="0">
                  <c:v>-0.19023972606648309</c:v>
                </c:pt>
                <c:pt idx="1">
                  <c:v>0.19023972606648309</c:v>
                </c:pt>
                <c:pt idx="2">
                  <c:v>-0.19023972606648309</c:v>
                </c:pt>
                <c:pt idx="3">
                  <c:v>0.19023972606648309</c:v>
                </c:pt>
                <c:pt idx="4">
                  <c:v>-0.19023972606648309</c:v>
                </c:pt>
                <c:pt idx="5">
                  <c:v>0.19023972606648309</c:v>
                </c:pt>
                <c:pt idx="6">
                  <c:v>-0.19023972606648309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335E-47EC-B4BE-7E5BD34A7B04}"/>
            </c:ext>
          </c:extLst>
        </c:ser>
        <c:ser>
          <c:idx val="4"/>
          <c:order val="4"/>
          <c:tx>
            <c:v>Custom Length</c:v>
          </c:tx>
          <c:spPr>
            <a:ln>
              <a:solidFill>
                <a:srgbClr val="92D050"/>
              </a:solidFill>
            </a:ln>
          </c:spPr>
          <c:marker>
            <c:symbol val="circle"/>
            <c:size val="5"/>
            <c:spPr>
              <a:solidFill>
                <a:srgbClr val="00B050"/>
              </a:solidFill>
              <a:ln>
                <a:noFill/>
              </a:ln>
            </c:spPr>
          </c:marker>
          <c:xVal>
            <c:numRef>
              <c:f>[0]!range_cx1</c:f>
              <c:numCache>
                <c:formatCode>General</c:formatCode>
                <c:ptCount val="7"/>
                <c:pt idx="0">
                  <c:v>0</c:v>
                </c:pt>
                <c:pt idx="1">
                  <c:v>2.1096461187996329</c:v>
                </c:pt>
                <c:pt idx="2">
                  <c:v>4.2192922375992659</c:v>
                </c:pt>
                <c:pt idx="3">
                  <c:v>6.3289383563988988</c:v>
                </c:pt>
                <c:pt idx="4">
                  <c:v>8.4385844751985317</c:v>
                </c:pt>
                <c:pt idx="5">
                  <c:v>10.548230593998165</c:v>
                </c:pt>
                <c:pt idx="6">
                  <c:v>12.657876712797798</c:v>
                </c:pt>
              </c:numCache>
            </c:numRef>
          </c:xVal>
          <c:yVal>
            <c:numRef>
              <c:f>[0]!range_cy1</c:f>
              <c:numCache>
                <c:formatCode>General</c:formatCode>
                <c:ptCount val="7"/>
                <c:pt idx="0">
                  <c:v>0.39111802995823558</c:v>
                </c:pt>
                <c:pt idx="1">
                  <c:v>-0.39111802995823558</c:v>
                </c:pt>
                <c:pt idx="2">
                  <c:v>0.39111802995823558</c:v>
                </c:pt>
                <c:pt idx="3">
                  <c:v>-0.39111802995823558</c:v>
                </c:pt>
                <c:pt idx="4">
                  <c:v>0.39111802995823558</c:v>
                </c:pt>
                <c:pt idx="5">
                  <c:v>-0.39111802995823558</c:v>
                </c:pt>
                <c:pt idx="6">
                  <c:v>0.39111802995823558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335E-47EC-B4BE-7E5BD34A7B04}"/>
            </c:ext>
          </c:extLst>
        </c:ser>
        <c:ser>
          <c:idx val="5"/>
          <c:order val="5"/>
          <c:tx>
            <c:v>Custom Length</c:v>
          </c:tx>
          <c:spPr>
            <a:ln>
              <a:solidFill>
                <a:srgbClr val="92D050"/>
              </a:solidFill>
            </a:ln>
          </c:spPr>
          <c:marker>
            <c:symbol val="circle"/>
            <c:size val="5"/>
            <c:spPr>
              <a:solidFill>
                <a:srgbClr val="00B050"/>
              </a:solidFill>
              <a:ln>
                <a:noFill/>
              </a:ln>
            </c:spPr>
          </c:marker>
          <c:xVal>
            <c:numRef>
              <c:f>[0]!range_cx2</c:f>
              <c:numCache>
                <c:formatCode>General</c:formatCode>
                <c:ptCount val="7"/>
                <c:pt idx="0">
                  <c:v>0</c:v>
                </c:pt>
                <c:pt idx="1">
                  <c:v>2.1096461187996329</c:v>
                </c:pt>
                <c:pt idx="2">
                  <c:v>4.2192922375992659</c:v>
                </c:pt>
                <c:pt idx="3">
                  <c:v>6.3289383563988988</c:v>
                </c:pt>
                <c:pt idx="4">
                  <c:v>8.4385844751985317</c:v>
                </c:pt>
                <c:pt idx="5">
                  <c:v>10.548230593998165</c:v>
                </c:pt>
                <c:pt idx="6">
                  <c:v>12.657876712797798</c:v>
                </c:pt>
              </c:numCache>
            </c:numRef>
          </c:xVal>
          <c:yVal>
            <c:numRef>
              <c:f>[0]!range_cy2</c:f>
              <c:numCache>
                <c:formatCode>General</c:formatCode>
                <c:ptCount val="7"/>
                <c:pt idx="0">
                  <c:v>-0.39111802995823558</c:v>
                </c:pt>
                <c:pt idx="1">
                  <c:v>0.39111802995823558</c:v>
                </c:pt>
                <c:pt idx="2">
                  <c:v>-0.39111802995823558</c:v>
                </c:pt>
                <c:pt idx="3">
                  <c:v>0.39111802995823558</c:v>
                </c:pt>
                <c:pt idx="4">
                  <c:v>-0.39111802995823558</c:v>
                </c:pt>
                <c:pt idx="5">
                  <c:v>0.39111802995823558</c:v>
                </c:pt>
                <c:pt idx="6">
                  <c:v>-0.39111802995823558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335E-47EC-B4BE-7E5BD34A7B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2396160"/>
        <c:axId val="92398336"/>
      </c:scatterChart>
      <c:valAx>
        <c:axId val="92396160"/>
        <c:scaling>
          <c:orientation val="minMax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>
                    <a:latin typeface="Segoe UI Semibold" panose="020B0702040204020203" pitchFamily="34" charset="0"/>
                    <a:cs typeface="Segoe UI Semibold" panose="020B0702040204020203" pitchFamily="34" charset="0"/>
                  </a:defRPr>
                </a:pPr>
                <a:r>
                  <a:rPr lang="en-US">
                    <a:latin typeface="Segoe UI Semibold" panose="020B0702040204020203" pitchFamily="34" charset="0"/>
                    <a:cs typeface="Segoe UI Semibold" panose="020B0702040204020203" pitchFamily="34" charset="0"/>
                  </a:rPr>
                  <a:t>X-axis Extension (inches)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92398336"/>
        <c:crossesAt val="-9999999"/>
        <c:crossBetween val="midCat"/>
      </c:valAx>
      <c:valAx>
        <c:axId val="92398336"/>
        <c:scaling>
          <c:orientation val="minMax"/>
        </c:scaling>
        <c:delete val="0"/>
        <c:axPos val="l"/>
        <c:minorGridlines/>
        <c:title>
          <c:tx>
            <c:rich>
              <a:bodyPr/>
              <a:lstStyle/>
              <a:p>
                <a:pPr>
                  <a:defRPr>
                    <a:latin typeface="Segoe UI Semibold" panose="020B0702040204020203" pitchFamily="34" charset="0"/>
                    <a:cs typeface="Segoe UI Semibold" panose="020B0702040204020203" pitchFamily="34" charset="0"/>
                  </a:defRPr>
                </a:pPr>
                <a:r>
                  <a:rPr lang="en-US">
                    <a:latin typeface="Segoe UI Semibold" panose="020B0702040204020203" pitchFamily="34" charset="0"/>
                    <a:cs typeface="Segoe UI Semibold" panose="020B0702040204020203" pitchFamily="34" charset="0"/>
                  </a:rPr>
                  <a:t>Y-axis Width (inches)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92396160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17877045631404093"/>
          <c:y val="0.40668826478434067"/>
          <c:w val="0.52800336870495956"/>
          <c:h val="0.36096147382122196"/>
        </c:manualLayout>
      </c:layout>
      <c:overlay val="1"/>
      <c:spPr>
        <a:solidFill>
          <a:schemeClr val="bg1"/>
        </a:solidFill>
        <a:ln>
          <a:solidFill>
            <a:schemeClr val="bg1">
              <a:lumMod val="65000"/>
            </a:schemeClr>
          </a:solidFill>
        </a:ln>
      </c:spPr>
    </c:legend>
    <c:plotVisOnly val="1"/>
    <c:dispBlanksAs val="gap"/>
    <c:showDLblsOverMax val="0"/>
  </c:chart>
  <c:txPr>
    <a:bodyPr/>
    <a:lstStyle/>
    <a:p>
      <a:pPr>
        <a:defRPr sz="2000">
          <a:latin typeface="Segoe UI Light" panose="020B0502040204020203" pitchFamily="34" charset="0"/>
          <a:cs typeface="Segoe UI Light" panose="020B0502040204020203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0" i="0" u="none" strike="noStrike" kern="1200" spc="0" baseline="0">
                <a:solidFill>
                  <a:sysClr val="windowText" lastClr="000000"/>
                </a:solidFill>
                <a:latin typeface="Segoe UI Semibold" panose="020B0702040204020203" pitchFamily="34" charset="0"/>
                <a:ea typeface="+mn-ea"/>
                <a:cs typeface="Segoe UI Semibold" panose="020B0702040204020203" pitchFamily="34" charset="0"/>
              </a:defRPr>
            </a:pPr>
            <a:r>
              <a:rPr lang="en-US">
                <a:latin typeface="Segoe UI Semibold" panose="020B0702040204020203" pitchFamily="34" charset="0"/>
                <a:cs typeface="Segoe UI Semibold" panose="020B0702040204020203" pitchFamily="34" charset="0"/>
              </a:rPr>
              <a:t>Predicted Sag vs. Scissor Extension</a:t>
            </a:r>
          </a:p>
        </c:rich>
      </c:tx>
      <c:layout>
        <c:manualLayout>
          <c:xMode val="edge"/>
          <c:yMode val="edge"/>
          <c:x val="0.24824469317285727"/>
          <c:y val="5.13777641130006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ysClr val="windowText" lastClr="000000"/>
              </a:solidFill>
              <a:latin typeface="Segoe UI Semibold" panose="020B0702040204020203" pitchFamily="34" charset="0"/>
              <a:ea typeface="+mn-ea"/>
              <a:cs typeface="Segoe UI Semibold" panose="020B0702040204020203" pitchFamily="34" charset="0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Sheet1!$I$102</c:f>
              <c:strCache>
                <c:ptCount val="1"/>
                <c:pt idx="0">
                  <c:v>2 Segment (0N Load)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Sheet1!$L$104:$L$110</c:f>
              <c:numCache>
                <c:formatCode>General</c:formatCode>
                <c:ptCount val="7"/>
                <c:pt idx="0">
                  <c:v>0</c:v>
                </c:pt>
                <c:pt idx="1">
                  <c:v>2.2175964438287883</c:v>
                </c:pt>
                <c:pt idx="2">
                  <c:v>4.4351922568744984</c:v>
                </c:pt>
                <c:pt idx="3">
                  <c:v>6.6527874391372199</c:v>
                </c:pt>
                <c:pt idx="4">
                  <c:v>8.8703819906170427</c:v>
                </c:pt>
                <c:pt idx="5">
                  <c:v>11.087975911314057</c:v>
                </c:pt>
                <c:pt idx="6">
                  <c:v>13.305569201228352</c:v>
                </c:pt>
              </c:numCache>
            </c:numRef>
          </c:xVal>
          <c:yVal>
            <c:numRef>
              <c:f>Sheet1!$M$104:$M$110</c:f>
              <c:numCache>
                <c:formatCode>General</c:formatCode>
                <c:ptCount val="7"/>
                <c:pt idx="0">
                  <c:v>0</c:v>
                </c:pt>
                <c:pt idx="1">
                  <c:v>-1.1827182715841865E-3</c:v>
                </c:pt>
                <c:pt idx="2">
                  <c:v>-3.548154646543727E-3</c:v>
                </c:pt>
                <c:pt idx="3">
                  <c:v>-7.0963089566698119E-3</c:v>
                </c:pt>
                <c:pt idx="4">
                  <c:v>-1.1827181033753657E-2</c:v>
                </c:pt>
                <c:pt idx="5">
                  <c:v>-1.77407707095865E-2</c:v>
                </c:pt>
                <c:pt idx="6">
                  <c:v>-2.4837077815959605E-2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44C-473A-B661-F70E393BDE32}"/>
            </c:ext>
          </c:extLst>
        </c:ser>
        <c:ser>
          <c:idx val="1"/>
          <c:order val="1"/>
          <c:tx>
            <c:strRef>
              <c:f>Sheet1!$I$48</c:f>
              <c:strCache>
                <c:ptCount val="1"/>
                <c:pt idx="0">
                  <c:v>2 Segment (No Load)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Sheet1!$L$50:$L$56</c:f>
              <c:numCache>
                <c:formatCode>General</c:formatCode>
                <c:ptCount val="7"/>
                <c:pt idx="0">
                  <c:v>0</c:v>
                </c:pt>
                <c:pt idx="1">
                  <c:v>2.2175964438287883</c:v>
                </c:pt>
                <c:pt idx="2">
                  <c:v>4.4351922568744984</c:v>
                </c:pt>
                <c:pt idx="3">
                  <c:v>6.6527874391372199</c:v>
                </c:pt>
                <c:pt idx="4">
                  <c:v>8.8703819906170427</c:v>
                </c:pt>
                <c:pt idx="5">
                  <c:v>11.087975911314057</c:v>
                </c:pt>
                <c:pt idx="6">
                  <c:v>13.305569201228352</c:v>
                </c:pt>
              </c:numCache>
            </c:numRef>
          </c:xVal>
          <c:yVal>
            <c:numRef>
              <c:f>Sheet1!$M$50:$M$56</c:f>
              <c:numCache>
                <c:formatCode>General</c:formatCode>
                <c:ptCount val="7"/>
                <c:pt idx="0">
                  <c:v>0</c:v>
                </c:pt>
                <c:pt idx="1">
                  <c:v>-1.1827182715841865E-3</c:v>
                </c:pt>
                <c:pt idx="2">
                  <c:v>-3.548154646543727E-3</c:v>
                </c:pt>
                <c:pt idx="3">
                  <c:v>-7.0963089566698119E-3</c:v>
                </c:pt>
                <c:pt idx="4">
                  <c:v>-1.1827181033753657E-2</c:v>
                </c:pt>
                <c:pt idx="5">
                  <c:v>-1.77407707095865E-2</c:v>
                </c:pt>
                <c:pt idx="6">
                  <c:v>-2.4837077815959605E-2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44C-473A-B661-F70E393BDE32}"/>
            </c:ext>
          </c:extLst>
        </c:ser>
        <c:ser>
          <c:idx val="2"/>
          <c:order val="2"/>
          <c:tx>
            <c:strRef>
              <c:f>Sheet1!$S$102</c:f>
              <c:strCache>
                <c:ptCount val="1"/>
                <c:pt idx="0">
                  <c:v>3 Segment (0N Load)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Sheet1!$V$104:$V$110</c:f>
              <c:numCache>
                <c:formatCode>General</c:formatCode>
                <c:ptCount val="7"/>
                <c:pt idx="0">
                  <c:v>0</c:v>
                </c:pt>
                <c:pt idx="1">
                  <c:v>2.2175962664210149</c:v>
                </c:pt>
                <c:pt idx="2">
                  <c:v>4.4351915472434698</c:v>
                </c:pt>
                <c:pt idx="3">
                  <c:v>6.6527858424675843</c:v>
                </c:pt>
                <c:pt idx="4">
                  <c:v>8.8703791520935766</c:v>
                </c:pt>
                <c:pt idx="5">
                  <c:v>11.087971476121666</c:v>
                </c:pt>
                <c:pt idx="6">
                  <c:v>13.305562814552072</c:v>
                </c:pt>
              </c:numCache>
            </c:numRef>
          </c:xVal>
          <c:yVal>
            <c:numRef>
              <c:f>Sheet1!$W$104:$W$110</c:f>
              <c:numCache>
                <c:formatCode>General</c:formatCode>
                <c:ptCount val="7"/>
                <c:pt idx="0">
                  <c:v>0</c:v>
                </c:pt>
                <c:pt idx="1">
                  <c:v>-1.4783978394802332E-3</c:v>
                </c:pt>
                <c:pt idx="2">
                  <c:v>-4.4351931899078096E-3</c:v>
                </c:pt>
                <c:pt idx="3">
                  <c:v>-8.8703857227499135E-3</c:v>
                </c:pt>
                <c:pt idx="4">
                  <c:v>-1.4783975109473799E-2</c:v>
                </c:pt>
                <c:pt idx="5">
                  <c:v>-2.2175961021546797E-2</c:v>
                </c:pt>
                <c:pt idx="6">
                  <c:v>-3.1046343130436312E-2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44C-473A-B661-F70E393BDE32}"/>
            </c:ext>
          </c:extLst>
        </c:ser>
        <c:ser>
          <c:idx val="3"/>
          <c:order val="3"/>
          <c:tx>
            <c:strRef>
              <c:f>Sheet1!$S$48</c:f>
              <c:strCache>
                <c:ptCount val="1"/>
                <c:pt idx="0">
                  <c:v>3 Segment (No Load)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Sheet1!$V$50:$V$56</c:f>
              <c:numCache>
                <c:formatCode>General</c:formatCode>
                <c:ptCount val="7"/>
                <c:pt idx="0">
                  <c:v>0</c:v>
                </c:pt>
                <c:pt idx="1">
                  <c:v>2.2175962664210149</c:v>
                </c:pt>
                <c:pt idx="2">
                  <c:v>4.4351915472434698</c:v>
                </c:pt>
                <c:pt idx="3">
                  <c:v>6.6527858424675843</c:v>
                </c:pt>
                <c:pt idx="4">
                  <c:v>8.8703791520935766</c:v>
                </c:pt>
                <c:pt idx="5">
                  <c:v>11.087971476121666</c:v>
                </c:pt>
                <c:pt idx="6">
                  <c:v>13.305562814552072</c:v>
                </c:pt>
              </c:numCache>
            </c:numRef>
          </c:xVal>
          <c:yVal>
            <c:numRef>
              <c:f>Sheet1!$W$50:$W$56</c:f>
              <c:numCache>
                <c:formatCode>General</c:formatCode>
                <c:ptCount val="7"/>
                <c:pt idx="0">
                  <c:v>0</c:v>
                </c:pt>
                <c:pt idx="1">
                  <c:v>-1.4783978394802332E-3</c:v>
                </c:pt>
                <c:pt idx="2">
                  <c:v>-4.4351931899078096E-3</c:v>
                </c:pt>
                <c:pt idx="3">
                  <c:v>-8.8703857227499135E-3</c:v>
                </c:pt>
                <c:pt idx="4">
                  <c:v>-1.4783975109473799E-2</c:v>
                </c:pt>
                <c:pt idx="5">
                  <c:v>-2.2175961021546797E-2</c:v>
                </c:pt>
                <c:pt idx="6">
                  <c:v>-3.1046343130436312E-2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44C-473A-B661-F70E393BDE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2433024"/>
        <c:axId val="92443776"/>
      </c:scatterChart>
      <c:valAx>
        <c:axId val="924330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2000" b="0" i="0" u="none" strike="noStrike" kern="1200" baseline="0">
                    <a:solidFill>
                      <a:sysClr val="windowText" lastClr="000000"/>
                    </a:solidFill>
                    <a:latin typeface="Segoe UI Semibold" panose="020B0702040204020203" pitchFamily="34" charset="0"/>
                    <a:ea typeface="+mn-ea"/>
                    <a:cs typeface="Segoe UI Semibold" panose="020B0702040204020203" pitchFamily="34" charset="0"/>
                  </a:defRPr>
                </a:pPr>
                <a:r>
                  <a:rPr lang="en-US">
                    <a:latin typeface="Segoe UI Semibold" panose="020B0702040204020203" pitchFamily="34" charset="0"/>
                    <a:cs typeface="Segoe UI Semibold" panose="020B0702040204020203" pitchFamily="34" charset="0"/>
                  </a:rPr>
                  <a:t>X-axis Extension [inches]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2000" b="0" i="0" u="none" strike="noStrike" kern="1200" baseline="0">
                  <a:solidFill>
                    <a:sysClr val="windowText" lastClr="000000"/>
                  </a:solidFill>
                  <a:latin typeface="Segoe UI Semibold" panose="020B0702040204020203" pitchFamily="34" charset="0"/>
                  <a:ea typeface="+mn-ea"/>
                  <a:cs typeface="Segoe UI Semibold" panose="020B0702040204020203" pitchFamily="34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ysClr val="windowText" lastClr="000000"/>
                </a:solidFill>
                <a:latin typeface="Segoe UI Light" panose="020B0502040204020203" pitchFamily="34" charset="0"/>
                <a:ea typeface="+mn-ea"/>
                <a:cs typeface="Segoe UI Light" panose="020B0502040204020203" pitchFamily="34" charset="0"/>
              </a:defRPr>
            </a:pPr>
            <a:endParaRPr lang="en-US"/>
          </a:p>
        </c:txPr>
        <c:crossAx val="92443776"/>
        <c:crossesAt val="-99999"/>
        <c:crossBetween val="midCat"/>
      </c:valAx>
      <c:valAx>
        <c:axId val="92443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2000" b="0" i="0" u="none" strike="noStrike" kern="1200" baseline="0">
                    <a:solidFill>
                      <a:sysClr val="windowText" lastClr="000000"/>
                    </a:solidFill>
                    <a:latin typeface="Segoe UI Semibold" panose="020B0702040204020203" pitchFamily="34" charset="0"/>
                    <a:ea typeface="+mn-ea"/>
                    <a:cs typeface="Segoe UI Semibold" panose="020B0702040204020203" pitchFamily="34" charset="0"/>
                  </a:defRPr>
                </a:pPr>
                <a:r>
                  <a:rPr lang="en-US">
                    <a:latin typeface="Segoe UI Semibold" panose="020B0702040204020203" pitchFamily="34" charset="0"/>
                    <a:cs typeface="Segoe UI Semibold" panose="020B0702040204020203" pitchFamily="34" charset="0"/>
                  </a:rPr>
                  <a:t>Z-axis Sag [inches]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000" b="0" i="0" u="none" strike="noStrike" kern="1200" baseline="0">
                  <a:solidFill>
                    <a:sysClr val="windowText" lastClr="000000"/>
                  </a:solidFill>
                  <a:latin typeface="Segoe UI Semibold" panose="020B0702040204020203" pitchFamily="34" charset="0"/>
                  <a:ea typeface="+mn-ea"/>
                  <a:cs typeface="Segoe UI Semibold" panose="020B0702040204020203" pitchFamily="34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ysClr val="windowText" lastClr="000000"/>
                </a:solidFill>
                <a:latin typeface="Segoe UI Light" panose="020B0502040204020203" pitchFamily="34" charset="0"/>
                <a:ea typeface="+mn-ea"/>
                <a:cs typeface="Segoe UI Light" panose="020B0502040204020203" pitchFamily="34" charset="0"/>
              </a:defRPr>
            </a:pPr>
            <a:endParaRPr lang="en-US"/>
          </a:p>
        </c:txPr>
        <c:crossAx val="9243302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l"/>
      <c:legendEntry>
        <c:idx val="2"/>
        <c:txPr>
          <a:bodyPr rot="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ysClr val="windowText" lastClr="000000"/>
                </a:solidFill>
                <a:latin typeface="Segoe UI Semibold" panose="020B0702040204020203" pitchFamily="34" charset="0"/>
                <a:ea typeface="+mn-ea"/>
                <a:cs typeface="Segoe UI Semibold" panose="020B0702040204020203" pitchFamily="34" charset="0"/>
              </a:defRPr>
            </a:pPr>
            <a:endParaRPr lang="en-US"/>
          </a:p>
        </c:txPr>
      </c:legendEntry>
      <c:layout>
        <c:manualLayout>
          <c:xMode val="edge"/>
          <c:yMode val="edge"/>
          <c:x val="0.20085024860244413"/>
          <c:y val="0.41074892312539585"/>
          <c:w val="0.34956273629895357"/>
          <c:h val="0.31854665893422196"/>
        </c:manualLayout>
      </c:layout>
      <c:overlay val="1"/>
      <c:spPr>
        <a:solidFill>
          <a:schemeClr val="bg1"/>
        </a:solidFill>
        <a:ln>
          <a:solidFill>
            <a:schemeClr val="bg1">
              <a:lumMod val="75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baseline="0">
              <a:solidFill>
                <a:sysClr val="windowText" lastClr="000000"/>
              </a:solidFill>
              <a:latin typeface="Segoe UI Light" panose="020B0502040204020203" pitchFamily="34" charset="0"/>
              <a:ea typeface="+mn-ea"/>
              <a:cs typeface="Segoe UI Light" panose="020B0502040204020203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2000">
          <a:solidFill>
            <a:sysClr val="windowText" lastClr="000000"/>
          </a:solidFill>
          <a:latin typeface="Segoe UI Light" panose="020B0502040204020203" pitchFamily="34" charset="0"/>
          <a:cs typeface="Segoe UI Light" panose="020B0502040204020203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0" i="0" u="none" strike="noStrike" kern="1200" spc="0" baseline="0">
                <a:solidFill>
                  <a:sysClr val="windowText" lastClr="000000"/>
                </a:solidFill>
                <a:latin typeface="Segoe UI Semibold" panose="020B0702040204020203" pitchFamily="34" charset="0"/>
                <a:ea typeface="+mn-ea"/>
                <a:cs typeface="Segoe UI Semibold" panose="020B0702040204020203" pitchFamily="34" charset="0"/>
              </a:defRPr>
            </a:pPr>
            <a:r>
              <a:rPr lang="en-US">
                <a:latin typeface="Segoe UI Semibold" panose="020B0702040204020203" pitchFamily="34" charset="0"/>
                <a:cs typeface="Segoe UI Semibold" panose="020B0702040204020203" pitchFamily="34" charset="0"/>
              </a:rPr>
              <a:t>Predicted Sag vs. Scissor Extension</a:t>
            </a:r>
          </a:p>
        </c:rich>
      </c:tx>
      <c:layout>
        <c:manualLayout>
          <c:xMode val="edge"/>
          <c:yMode val="edge"/>
          <c:x val="0.24824469317285727"/>
          <c:y val="5.13777641130006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ysClr val="windowText" lastClr="000000"/>
              </a:solidFill>
              <a:latin typeface="Segoe UI Semibold" panose="020B0702040204020203" pitchFamily="34" charset="0"/>
              <a:ea typeface="+mn-ea"/>
              <a:cs typeface="Segoe UI Semibold" panose="020B0702040204020203" pitchFamily="34" charset="0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1"/>
          <c:order val="0"/>
          <c:tx>
            <c:strRef>
              <c:f>Sheet1!$S$102</c:f>
              <c:strCache>
                <c:ptCount val="1"/>
                <c:pt idx="0">
                  <c:v>3 Segment (0N Load)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Sheet1!$V$104:$V$110</c:f>
              <c:numCache>
                <c:formatCode>General</c:formatCode>
                <c:ptCount val="7"/>
                <c:pt idx="0">
                  <c:v>0</c:v>
                </c:pt>
                <c:pt idx="1">
                  <c:v>2.2175962664210149</c:v>
                </c:pt>
                <c:pt idx="2">
                  <c:v>4.4351915472434698</c:v>
                </c:pt>
                <c:pt idx="3">
                  <c:v>6.6527858424675843</c:v>
                </c:pt>
                <c:pt idx="4">
                  <c:v>8.8703791520935766</c:v>
                </c:pt>
                <c:pt idx="5">
                  <c:v>11.087971476121666</c:v>
                </c:pt>
                <c:pt idx="6">
                  <c:v>13.305562814552072</c:v>
                </c:pt>
              </c:numCache>
            </c:numRef>
          </c:xVal>
          <c:yVal>
            <c:numRef>
              <c:f>Sheet1!$W$104:$W$110</c:f>
              <c:numCache>
                <c:formatCode>General</c:formatCode>
                <c:ptCount val="7"/>
                <c:pt idx="0">
                  <c:v>0</c:v>
                </c:pt>
                <c:pt idx="1">
                  <c:v>-1.4783978394802332E-3</c:v>
                </c:pt>
                <c:pt idx="2">
                  <c:v>-4.4351931899078096E-3</c:v>
                </c:pt>
                <c:pt idx="3">
                  <c:v>-8.8703857227499135E-3</c:v>
                </c:pt>
                <c:pt idx="4">
                  <c:v>-1.4783975109473799E-2</c:v>
                </c:pt>
                <c:pt idx="5">
                  <c:v>-2.2175961021546797E-2</c:v>
                </c:pt>
                <c:pt idx="6">
                  <c:v>-3.1046343130436312E-2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E30-45E8-80A7-77FC89389FB1}"/>
            </c:ext>
          </c:extLst>
        </c:ser>
        <c:ser>
          <c:idx val="3"/>
          <c:order val="1"/>
          <c:tx>
            <c:strRef>
              <c:f>Sheet1!$S$118</c:f>
              <c:strCache>
                <c:ptCount val="1"/>
                <c:pt idx="0">
                  <c:v>3 Segment (10N Load)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Sheet1!$V$120:$V$126</c:f>
              <c:numCache>
                <c:formatCode>General</c:formatCode>
                <c:ptCount val="7"/>
                <c:pt idx="0">
                  <c:v>0</c:v>
                </c:pt>
                <c:pt idx="1">
                  <c:v>2.2175961680353509</c:v>
                </c:pt>
                <c:pt idx="2">
                  <c:v>4.4351913549462871</c:v>
                </c:pt>
                <c:pt idx="3">
                  <c:v>6.6527855562589036</c:v>
                </c:pt>
                <c:pt idx="4">
                  <c:v>8.8703787719734191</c:v>
                </c:pt>
                <c:pt idx="5">
                  <c:v>11.087971002090052</c:v>
                </c:pt>
                <c:pt idx="6">
                  <c:v>13.305562246609023</c:v>
                </c:pt>
              </c:numCache>
            </c:numRef>
          </c:xVal>
          <c:yVal>
            <c:numRef>
              <c:f>Sheet1!$W$120:$W$126</c:f>
              <c:numCache>
                <c:formatCode>General</c:formatCode>
                <c:ptCount val="7"/>
                <c:pt idx="0">
                  <c:v>0</c:v>
                </c:pt>
                <c:pt idx="1">
                  <c:v>-1.6192651188516375E-3</c:v>
                </c:pt>
                <c:pt idx="2">
                  <c:v>-4.716927717346775E-3</c:v>
                </c:pt>
                <c:pt idx="3">
                  <c:v>-9.2929874669526024E-3</c:v>
                </c:pt>
                <c:pt idx="4">
                  <c:v>-1.5347444039136383E-2</c:v>
                </c:pt>
                <c:pt idx="5">
                  <c:v>-2.2880297105365453E-2</c:v>
                </c:pt>
                <c:pt idx="6">
                  <c:v>-3.1891546337107224E-2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4E30-45E8-80A7-77FC89389FB1}"/>
            </c:ext>
          </c:extLst>
        </c:ser>
        <c:ser>
          <c:idx val="2"/>
          <c:order val="2"/>
          <c:tx>
            <c:strRef>
              <c:f>Sheet1!$S$134</c:f>
              <c:strCache>
                <c:ptCount val="1"/>
                <c:pt idx="0">
                  <c:v>3 Segment (20N Load)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Sheet1!$V$136:$V$142</c:f>
              <c:numCache>
                <c:formatCode>General</c:formatCode>
                <c:ptCount val="7"/>
                <c:pt idx="0">
                  <c:v>0</c:v>
                </c:pt>
                <c:pt idx="1">
                  <c:v>2.2175960607014447</c:v>
                </c:pt>
                <c:pt idx="2">
                  <c:v>4.4351911537008659</c:v>
                </c:pt>
                <c:pt idx="3">
                  <c:v>6.6527852611019878</c:v>
                </c:pt>
                <c:pt idx="4">
                  <c:v>8.8703783829050309</c:v>
                </c:pt>
                <c:pt idx="5">
                  <c:v>11.087970519110213</c:v>
                </c:pt>
                <c:pt idx="6">
                  <c:v>13.305561669717752</c:v>
                </c:pt>
              </c:numCache>
            </c:numRef>
          </c:xVal>
          <c:yVal>
            <c:numRef>
              <c:f>Sheet1!$W$136:$W$142</c:f>
              <c:numCache>
                <c:formatCode>General</c:formatCode>
                <c:ptCount val="7"/>
                <c:pt idx="0">
                  <c:v>0</c:v>
                </c:pt>
                <c:pt idx="1">
                  <c:v>-1.7601323905523003E-3</c:v>
                </c:pt>
                <c:pt idx="2">
                  <c:v>-4.9986622294442597E-3</c:v>
                </c:pt>
                <c:pt idx="3">
                  <c:v>-9.7155891881430742E-3</c:v>
                </c:pt>
                <c:pt idx="4">
                  <c:v>-1.5910912938116015E-2</c:v>
                </c:pt>
                <c:pt idx="5">
                  <c:v>-2.3584633150830425E-2</c:v>
                </c:pt>
                <c:pt idx="6">
                  <c:v>-3.2736749497753723E-2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4E30-45E8-80A7-77FC89389FB1}"/>
            </c:ext>
          </c:extLst>
        </c:ser>
        <c:ser>
          <c:idx val="0"/>
          <c:order val="3"/>
          <c:tx>
            <c:strRef>
              <c:f>Sheet1!$S$150</c:f>
              <c:strCache>
                <c:ptCount val="1"/>
                <c:pt idx="0">
                  <c:v>3 Segment (30N Load)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Sheet1!$V$152:$V$158</c:f>
              <c:numCache>
                <c:formatCode>General</c:formatCode>
                <c:ptCount val="7"/>
                <c:pt idx="0">
                  <c:v>0</c:v>
                </c:pt>
                <c:pt idx="1">
                  <c:v>2.2175959444192976</c:v>
                </c:pt>
                <c:pt idx="2">
                  <c:v>4.4351909435072105</c:v>
                </c:pt>
                <c:pt idx="3">
                  <c:v>6.6527849569968449</c:v>
                </c:pt>
                <c:pt idx="4">
                  <c:v>8.870377984888421</c:v>
                </c:pt>
                <c:pt idx="5">
                  <c:v>11.087970027182157</c:v>
                </c:pt>
                <c:pt idx="6">
                  <c:v>13.305561083878272</c:v>
                </c:pt>
              </c:numCache>
            </c:numRef>
          </c:xVal>
          <c:yVal>
            <c:numRef>
              <c:f>Sheet1!$W$152:$W$158</c:f>
              <c:numCache>
                <c:formatCode>General</c:formatCode>
                <c:ptCount val="7"/>
                <c:pt idx="0">
                  <c:v>0</c:v>
                </c:pt>
                <c:pt idx="1">
                  <c:v>-1.9009996528769771E-3</c:v>
                </c:pt>
                <c:pt idx="2">
                  <c:v>-5.280396722789773E-3</c:v>
                </c:pt>
                <c:pt idx="3">
                  <c:v>-1.0138190881205593E-2</c:v>
                </c:pt>
                <c:pt idx="4">
                  <c:v>-1.6474381799591712E-2</c:v>
                </c:pt>
                <c:pt idx="5">
                  <c:v>-2.4288969149415481E-2</c:v>
                </c:pt>
                <c:pt idx="6">
                  <c:v>-3.3581952602144326E-2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E30-45E8-80A7-77FC89389F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2433024"/>
        <c:axId val="92443776"/>
      </c:scatterChart>
      <c:valAx>
        <c:axId val="924330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2000" b="0" i="0" u="none" strike="noStrike" kern="1200" baseline="0">
                    <a:solidFill>
                      <a:sysClr val="windowText" lastClr="000000"/>
                    </a:solidFill>
                    <a:latin typeface="Segoe UI Semibold" panose="020B0702040204020203" pitchFamily="34" charset="0"/>
                    <a:ea typeface="+mn-ea"/>
                    <a:cs typeface="Segoe UI Semibold" panose="020B0702040204020203" pitchFamily="34" charset="0"/>
                  </a:defRPr>
                </a:pPr>
                <a:r>
                  <a:rPr lang="en-US">
                    <a:latin typeface="Segoe UI Semibold" panose="020B0702040204020203" pitchFamily="34" charset="0"/>
                    <a:cs typeface="Segoe UI Semibold" panose="020B0702040204020203" pitchFamily="34" charset="0"/>
                  </a:rPr>
                  <a:t>X-axis Extension [inches]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2000" b="0" i="0" u="none" strike="noStrike" kern="1200" baseline="0">
                  <a:solidFill>
                    <a:sysClr val="windowText" lastClr="000000"/>
                  </a:solidFill>
                  <a:latin typeface="Segoe UI Semibold" panose="020B0702040204020203" pitchFamily="34" charset="0"/>
                  <a:ea typeface="+mn-ea"/>
                  <a:cs typeface="Segoe UI Semibold" panose="020B0702040204020203" pitchFamily="34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ysClr val="windowText" lastClr="000000"/>
                </a:solidFill>
                <a:latin typeface="Segoe UI Light" panose="020B0502040204020203" pitchFamily="34" charset="0"/>
                <a:ea typeface="+mn-ea"/>
                <a:cs typeface="Segoe UI Light" panose="020B0502040204020203" pitchFamily="34" charset="0"/>
              </a:defRPr>
            </a:pPr>
            <a:endParaRPr lang="en-US"/>
          </a:p>
        </c:txPr>
        <c:crossAx val="92443776"/>
        <c:crossesAt val="-99999"/>
        <c:crossBetween val="midCat"/>
      </c:valAx>
      <c:valAx>
        <c:axId val="92443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2000" b="0" i="0" u="none" strike="noStrike" kern="1200" baseline="0">
                    <a:solidFill>
                      <a:sysClr val="windowText" lastClr="000000"/>
                    </a:solidFill>
                    <a:latin typeface="Segoe UI Semibold" panose="020B0702040204020203" pitchFamily="34" charset="0"/>
                    <a:ea typeface="+mn-ea"/>
                    <a:cs typeface="Segoe UI Semibold" panose="020B0702040204020203" pitchFamily="34" charset="0"/>
                  </a:defRPr>
                </a:pPr>
                <a:r>
                  <a:rPr lang="en-US">
                    <a:latin typeface="Segoe UI Semibold" panose="020B0702040204020203" pitchFamily="34" charset="0"/>
                    <a:cs typeface="Segoe UI Semibold" panose="020B0702040204020203" pitchFamily="34" charset="0"/>
                  </a:rPr>
                  <a:t>Z-axis Sag [inches]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000" b="0" i="0" u="none" strike="noStrike" kern="1200" baseline="0">
                  <a:solidFill>
                    <a:sysClr val="windowText" lastClr="000000"/>
                  </a:solidFill>
                  <a:latin typeface="Segoe UI Semibold" panose="020B0702040204020203" pitchFamily="34" charset="0"/>
                  <a:ea typeface="+mn-ea"/>
                  <a:cs typeface="Segoe UI Semibold" panose="020B0702040204020203" pitchFamily="34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ysClr val="windowText" lastClr="000000"/>
                </a:solidFill>
                <a:latin typeface="Segoe UI Light" panose="020B0502040204020203" pitchFamily="34" charset="0"/>
                <a:ea typeface="+mn-ea"/>
                <a:cs typeface="Segoe UI Light" panose="020B0502040204020203" pitchFamily="34" charset="0"/>
              </a:defRPr>
            </a:pPr>
            <a:endParaRPr lang="en-US"/>
          </a:p>
        </c:txPr>
        <c:crossAx val="9243302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l"/>
      <c:legendEntry>
        <c:idx val="2"/>
        <c:txPr>
          <a:bodyPr rot="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ysClr val="windowText" lastClr="000000"/>
                </a:solidFill>
                <a:latin typeface="Segoe UI Semibold" panose="020B0702040204020203" pitchFamily="34" charset="0"/>
                <a:ea typeface="+mn-ea"/>
                <a:cs typeface="Segoe UI Semibold" panose="020B0702040204020203" pitchFamily="34" charset="0"/>
              </a:defRPr>
            </a:pPr>
            <a:endParaRPr lang="en-US"/>
          </a:p>
        </c:txPr>
      </c:legendEntry>
      <c:layout>
        <c:manualLayout>
          <c:xMode val="edge"/>
          <c:yMode val="edge"/>
          <c:x val="0.20085024860244413"/>
          <c:y val="0.41074892312539585"/>
          <c:w val="0.34956273629895357"/>
          <c:h val="0.31854665893422196"/>
        </c:manualLayout>
      </c:layout>
      <c:overlay val="1"/>
      <c:spPr>
        <a:solidFill>
          <a:schemeClr val="bg1"/>
        </a:solidFill>
        <a:ln>
          <a:solidFill>
            <a:schemeClr val="bg1">
              <a:lumMod val="75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baseline="0">
              <a:solidFill>
                <a:sysClr val="windowText" lastClr="000000"/>
              </a:solidFill>
              <a:latin typeface="Segoe UI Light" panose="020B0502040204020203" pitchFamily="34" charset="0"/>
              <a:ea typeface="+mn-ea"/>
              <a:cs typeface="Segoe UI Light" panose="020B0502040204020203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2000">
          <a:solidFill>
            <a:sysClr val="windowText" lastClr="000000"/>
          </a:solidFill>
          <a:latin typeface="Segoe UI Light" panose="020B0502040204020203" pitchFamily="34" charset="0"/>
          <a:cs typeface="Segoe UI Light" panose="020B0502040204020203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428625</xdr:colOff>
      <xdr:row>7</xdr:row>
      <xdr:rowOff>144276</xdr:rowOff>
    </xdr:from>
    <xdr:to>
      <xdr:col>35</xdr:col>
      <xdr:colOff>519113</xdr:colOff>
      <xdr:row>30</xdr:row>
      <xdr:rowOff>61912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22</xdr:col>
      <xdr:colOff>190500</xdr:colOff>
      <xdr:row>63</xdr:row>
      <xdr:rowOff>89647</xdr:rowOff>
    </xdr:from>
    <xdr:to>
      <xdr:col>33</xdr:col>
      <xdr:colOff>561975</xdr:colOff>
      <xdr:row>77</xdr:row>
      <xdr:rowOff>165847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226920</xdr:colOff>
      <xdr:row>57</xdr:row>
      <xdr:rowOff>7282</xdr:rowOff>
    </xdr:from>
    <xdr:to>
      <xdr:col>22</xdr:col>
      <xdr:colOff>170891</xdr:colOff>
      <xdr:row>78</xdr:row>
      <xdr:rowOff>189939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51</xdr:col>
      <xdr:colOff>190500</xdr:colOff>
      <xdr:row>10</xdr:row>
      <xdr:rowOff>142875</xdr:rowOff>
    </xdr:from>
    <xdr:to>
      <xdr:col>66</xdr:col>
      <xdr:colOff>21851</xdr:colOff>
      <xdr:row>29</xdr:row>
      <xdr:rowOff>19050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121228</xdr:colOff>
      <xdr:row>78</xdr:row>
      <xdr:rowOff>17318</xdr:rowOff>
    </xdr:from>
    <xdr:to>
      <xdr:col>34</xdr:col>
      <xdr:colOff>64179</xdr:colOff>
      <xdr:row>100</xdr:row>
      <xdr:rowOff>28525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519545</xdr:colOff>
      <xdr:row>177</xdr:row>
      <xdr:rowOff>173182</xdr:rowOff>
    </xdr:from>
    <xdr:to>
      <xdr:col>22</xdr:col>
      <xdr:colOff>475484</xdr:colOff>
      <xdr:row>199</xdr:row>
      <xdr:rowOff>184389</xdr:rowOff>
    </xdr:to>
    <xdr:graphicFrame macro="">
      <xdr:nvGraphicFramePr>
        <xdr:cNvPr id="9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V178"/>
  <sheetViews>
    <sheetView tabSelected="1" zoomScaleNormal="100" workbookViewId="0">
      <selection activeCell="G90" sqref="G90"/>
    </sheetView>
  </sheetViews>
  <sheetFormatPr defaultRowHeight="15" x14ac:dyDescent="0.25"/>
  <cols>
    <col min="1" max="1" width="32.85546875" customWidth="1"/>
    <col min="2" max="2" width="4.28515625" style="3" customWidth="1"/>
    <col min="12" max="12" width="13.140625" bestFit="1" customWidth="1"/>
    <col min="17" max="17" width="14.140625" customWidth="1"/>
  </cols>
  <sheetData>
    <row r="1" spans="1:23" x14ac:dyDescent="0.25">
      <c r="A1" s="1" t="s">
        <v>76</v>
      </c>
    </row>
    <row r="2" spans="1:23" x14ac:dyDescent="0.25">
      <c r="A2" s="1" t="s">
        <v>121</v>
      </c>
      <c r="H2" s="11"/>
      <c r="I2" s="44" t="s">
        <v>22</v>
      </c>
      <c r="J2" s="45"/>
      <c r="K2" s="45"/>
      <c r="L2" s="45"/>
      <c r="M2" s="44" t="s">
        <v>23</v>
      </c>
      <c r="N2" s="45"/>
      <c r="O2" s="45"/>
      <c r="P2" s="45"/>
      <c r="Q2" s="16" t="s">
        <v>43</v>
      </c>
      <c r="R2" s="9">
        <f>C15+10</f>
        <v>12.657876712797798</v>
      </c>
      <c r="S2" s="14" t="s">
        <v>44</v>
      </c>
      <c r="T2" s="15" t="str">
        <f>IF(R2&gt;=C17,IF(R2&lt;=C22,"IN RANGE","TOO FAR"),"TOO SHORT")</f>
        <v>IN RANGE</v>
      </c>
    </row>
    <row r="3" spans="1:23" x14ac:dyDescent="0.25">
      <c r="H3" s="13" t="s">
        <v>40</v>
      </c>
      <c r="I3" s="12" t="s">
        <v>24</v>
      </c>
      <c r="J3" s="10" t="s">
        <v>38</v>
      </c>
      <c r="K3" s="10" t="s">
        <v>25</v>
      </c>
      <c r="L3" s="10" t="s">
        <v>39</v>
      </c>
      <c r="M3" s="12" t="s">
        <v>24</v>
      </c>
      <c r="N3" s="10" t="s">
        <v>38</v>
      </c>
      <c r="O3" s="10" t="s">
        <v>25</v>
      </c>
      <c r="P3" s="10" t="s">
        <v>39</v>
      </c>
      <c r="Q3" s="12" t="s">
        <v>24</v>
      </c>
      <c r="R3" s="10" t="s">
        <v>38</v>
      </c>
      <c r="S3" s="10" t="s">
        <v>25</v>
      </c>
      <c r="T3" s="10" t="s">
        <v>39</v>
      </c>
    </row>
    <row r="4" spans="1:23" x14ac:dyDescent="0.25">
      <c r="A4" t="s">
        <v>4</v>
      </c>
      <c r="B4" s="3" t="s">
        <v>20</v>
      </c>
      <c r="C4">
        <v>2.25</v>
      </c>
      <c r="D4" t="s">
        <v>1</v>
      </c>
      <c r="E4" s="1">
        <f t="shared" ref="E4" si="0">IFERROR(C4*25.4,0)</f>
        <v>57.15</v>
      </c>
      <c r="F4" s="1" t="s">
        <v>2</v>
      </c>
      <c r="H4" s="11">
        <v>0</v>
      </c>
      <c r="I4" s="2">
        <f t="shared" ref="I4:I9" si="1">IF($H4&lt;=$C$12,$H4*$C$4*SIN($C$10),"")</f>
        <v>0</v>
      </c>
      <c r="J4" s="2">
        <f t="shared" ref="J4:J9" si="2">IF($H4&lt;=$C$12,IF(ISEVEN($H4),$C$4*COS($C$10)/2,-$C$4*COS($C$10)/2),"")</f>
        <v>1.1087983796101748</v>
      </c>
      <c r="K4" s="2">
        <f t="shared" ref="K4:K9" si="3">IF($H4&lt;=$C$12,$H4*$C$4*SIN($C$10),"")</f>
        <v>0</v>
      </c>
      <c r="L4" s="2">
        <f t="shared" ref="L4:L9" si="4">IF($H4&lt;=$C$12,IF(ISODD($H4),$C$4*COS($C$10)/2,-$C$4*COS($C$10)/2),"")</f>
        <v>-1.1087983796101748</v>
      </c>
      <c r="M4" s="17">
        <f t="shared" ref="M4:M9" si="5">IF($H4&lt;=$C$12,$H4*$C$4*COS($C$10),"")</f>
        <v>0</v>
      </c>
      <c r="N4" s="18">
        <f t="shared" ref="N4:N9" si="6">IF($H4&lt;=$C$12,IF(ISEVEN($H4),$C$4*SIN($C$10)/2,-$C$4*SIN($C$10)/2),"")</f>
        <v>0.19023972606648309</v>
      </c>
      <c r="O4" s="18">
        <f t="shared" ref="O4:O9" si="7">IF($H4&lt;=$C$12,$H4*$C$4*COS($C$10),"")</f>
        <v>0</v>
      </c>
      <c r="P4" s="18">
        <f t="shared" ref="P4:P9" si="8">IF($H4&lt;=$C$12,IF(ISODD($H4),$C$4*SIN($C$10)/2,-$C$4*SIN($C$10)/2),"")</f>
        <v>-0.19023972606648309</v>
      </c>
      <c r="Q4" s="19">
        <f t="shared" ref="Q4:Q29" si="9">IF($H4&lt;=$C$12,IF($T$2="IN RANGE",$R$2/$C$12*$H4,""),"")</f>
        <v>0</v>
      </c>
      <c r="R4">
        <f t="shared" ref="R4:R29" si="10">IF($H4&lt;=$C$12,IF(ISEVEN($H4),SQRT($C$4^2-($R$2/$C$12)^2)/2,-SQRT($C$4^2-($R$2/$C$12)^2)/2),"")</f>
        <v>0.39111802995823558</v>
      </c>
      <c r="S4">
        <f t="shared" ref="S4:S29" si="11">IF($H4&lt;=$C$12,IF($T$2="IN RANGE",$R$2/$C$12*$H4,""),"")</f>
        <v>0</v>
      </c>
      <c r="T4">
        <f t="shared" ref="T4:T29" si="12">IF($H4&lt;=$C$12,IF(ISODD($H4),SQRT($C$4^2-($R$2/$C$12)^2)/2,-SQRT($C$4^2-($R$2/$C$12)^2)/2),"")</f>
        <v>-0.39111802995823558</v>
      </c>
      <c r="V4">
        <f>R2/(C12*2)</f>
        <v>1.0548230593998165</v>
      </c>
      <c r="W4">
        <f>R2/V4</f>
        <v>12</v>
      </c>
    </row>
    <row r="5" spans="1:23" x14ac:dyDescent="0.25">
      <c r="A5" t="s">
        <v>0</v>
      </c>
      <c r="B5" s="3" t="s">
        <v>6</v>
      </c>
      <c r="C5">
        <v>0.375</v>
      </c>
      <c r="D5" t="s">
        <v>1</v>
      </c>
      <c r="E5" s="1">
        <f t="shared" ref="E5" si="13">IFERROR(C5*25.4,0)</f>
        <v>9.5249999999999986</v>
      </c>
      <c r="F5" s="1" t="s">
        <v>2</v>
      </c>
      <c r="H5" s="11">
        <v>1</v>
      </c>
      <c r="I5" s="2">
        <f t="shared" si="1"/>
        <v>0.38047945213296619</v>
      </c>
      <c r="J5" s="2">
        <f t="shared" si="2"/>
        <v>-1.1087983796101748</v>
      </c>
      <c r="K5" s="2">
        <f t="shared" si="3"/>
        <v>0.38047945213296619</v>
      </c>
      <c r="L5" s="2">
        <f t="shared" si="4"/>
        <v>1.1087983796101748</v>
      </c>
      <c r="M5" s="17">
        <f t="shared" si="5"/>
        <v>2.2175967592203496</v>
      </c>
      <c r="N5" s="18">
        <f t="shared" si="6"/>
        <v>-0.19023972606648309</v>
      </c>
      <c r="O5" s="18">
        <f t="shared" si="7"/>
        <v>2.2175967592203496</v>
      </c>
      <c r="P5" s="18">
        <f t="shared" si="8"/>
        <v>0.19023972606648309</v>
      </c>
      <c r="Q5" s="19">
        <f t="shared" si="9"/>
        <v>2.1096461187996329</v>
      </c>
      <c r="R5">
        <f t="shared" si="10"/>
        <v>-0.39111802995823558</v>
      </c>
      <c r="S5">
        <f t="shared" si="11"/>
        <v>2.1096461187996329</v>
      </c>
      <c r="T5">
        <f t="shared" si="12"/>
        <v>0.39111802995823558</v>
      </c>
    </row>
    <row r="6" spans="1:23" x14ac:dyDescent="0.25">
      <c r="A6" t="s">
        <v>19</v>
      </c>
      <c r="B6" s="3" t="s">
        <v>5</v>
      </c>
      <c r="C6" s="2">
        <f>C4+C5</f>
        <v>2.625</v>
      </c>
      <c r="D6" s="2" t="s">
        <v>1</v>
      </c>
      <c r="E6" s="5">
        <f>IFERROR(C6*25.4,0)</f>
        <v>66.674999999999997</v>
      </c>
      <c r="F6" s="5" t="s">
        <v>2</v>
      </c>
      <c r="H6" s="11">
        <v>2</v>
      </c>
      <c r="I6" s="2">
        <f t="shared" si="1"/>
        <v>0.76095890426593238</v>
      </c>
      <c r="J6" s="2">
        <f t="shared" si="2"/>
        <v>1.1087983796101748</v>
      </c>
      <c r="K6" s="2">
        <f t="shared" si="3"/>
        <v>0.76095890426593238</v>
      </c>
      <c r="L6" s="2">
        <f t="shared" si="4"/>
        <v>-1.1087983796101748</v>
      </c>
      <c r="M6" s="17">
        <f t="shared" si="5"/>
        <v>4.4351935184406992</v>
      </c>
      <c r="N6" s="18">
        <f t="shared" si="6"/>
        <v>0.19023972606648309</v>
      </c>
      <c r="O6" s="18">
        <f t="shared" si="7"/>
        <v>4.4351935184406992</v>
      </c>
      <c r="P6" s="18">
        <f t="shared" si="8"/>
        <v>-0.19023972606648309</v>
      </c>
      <c r="Q6" s="19">
        <f t="shared" si="9"/>
        <v>4.2192922375992659</v>
      </c>
      <c r="R6">
        <f>IF($H6&lt;=$C$12,IF(ISEVEN($H6),SQRT($C$4^2-($R$2/$C$12)^2)/2,-SQRT($C$4^2-($R$2/$C$12)^2)/2),"")</f>
        <v>0.39111802995823558</v>
      </c>
      <c r="S6">
        <f t="shared" si="11"/>
        <v>4.2192922375992659</v>
      </c>
      <c r="T6">
        <f t="shared" si="12"/>
        <v>-0.39111802995823558</v>
      </c>
      <c r="V6" t="s">
        <v>107</v>
      </c>
    </row>
    <row r="7" spans="1:23" x14ac:dyDescent="0.25">
      <c r="A7" t="s">
        <v>3</v>
      </c>
      <c r="B7" s="3" t="s">
        <v>7</v>
      </c>
      <c r="C7">
        <v>0.1875</v>
      </c>
      <c r="D7" t="s">
        <v>1</v>
      </c>
      <c r="E7" s="1">
        <f>IFERROR(C7*25.4,0)</f>
        <v>4.7624999999999993</v>
      </c>
      <c r="F7" s="1" t="s">
        <v>2</v>
      </c>
      <c r="H7" s="11">
        <v>3</v>
      </c>
      <c r="I7" s="2">
        <f t="shared" si="1"/>
        <v>1.1414383563988986</v>
      </c>
      <c r="J7" s="2">
        <f t="shared" si="2"/>
        <v>-1.1087983796101748</v>
      </c>
      <c r="K7" s="2">
        <f t="shared" si="3"/>
        <v>1.1414383563988986</v>
      </c>
      <c r="L7" s="2">
        <f t="shared" si="4"/>
        <v>1.1087983796101748</v>
      </c>
      <c r="M7" s="17">
        <f t="shared" si="5"/>
        <v>6.6527902776610492</v>
      </c>
      <c r="N7" s="18">
        <f t="shared" si="6"/>
        <v>-0.19023972606648309</v>
      </c>
      <c r="O7" s="18">
        <f t="shared" si="7"/>
        <v>6.6527902776610492</v>
      </c>
      <c r="P7" s="18">
        <f t="shared" si="8"/>
        <v>0.19023972606648309</v>
      </c>
      <c r="Q7" s="19">
        <f t="shared" si="9"/>
        <v>6.3289383563988988</v>
      </c>
      <c r="R7">
        <f t="shared" si="10"/>
        <v>-0.39111802995823558</v>
      </c>
      <c r="S7">
        <f t="shared" si="11"/>
        <v>6.3289383563988988</v>
      </c>
      <c r="T7">
        <f t="shared" si="12"/>
        <v>0.39111802995823558</v>
      </c>
      <c r="V7">
        <f>T7-T6-3/16</f>
        <v>0.59473605991647116</v>
      </c>
      <c r="W7" t="s">
        <v>1</v>
      </c>
    </row>
    <row r="8" spans="1:23" x14ac:dyDescent="0.25">
      <c r="H8" s="11">
        <v>4</v>
      </c>
      <c r="I8" s="2">
        <f t="shared" si="1"/>
        <v>1.5219178085318648</v>
      </c>
      <c r="J8" s="2">
        <f t="shared" si="2"/>
        <v>1.1087983796101748</v>
      </c>
      <c r="K8" s="2">
        <f t="shared" si="3"/>
        <v>1.5219178085318648</v>
      </c>
      <c r="L8" s="2">
        <f t="shared" si="4"/>
        <v>-1.1087983796101748</v>
      </c>
      <c r="M8" s="17">
        <f t="shared" si="5"/>
        <v>8.8703870368813984</v>
      </c>
      <c r="N8" s="18">
        <f t="shared" si="6"/>
        <v>0.19023972606648309</v>
      </c>
      <c r="O8" s="18">
        <f t="shared" si="7"/>
        <v>8.8703870368813984</v>
      </c>
      <c r="P8" s="18">
        <f t="shared" si="8"/>
        <v>-0.19023972606648309</v>
      </c>
      <c r="Q8" s="19">
        <f t="shared" si="9"/>
        <v>8.4385844751985317</v>
      </c>
      <c r="R8">
        <f t="shared" si="10"/>
        <v>0.39111802995823558</v>
      </c>
      <c r="S8">
        <f t="shared" si="11"/>
        <v>8.4385844751985317</v>
      </c>
      <c r="T8">
        <f t="shared" si="12"/>
        <v>-0.39111802995823558</v>
      </c>
    </row>
    <row r="9" spans="1:23" x14ac:dyDescent="0.25">
      <c r="A9" t="s">
        <v>10</v>
      </c>
      <c r="B9" s="4" t="s">
        <v>17</v>
      </c>
      <c r="C9" s="2">
        <f>ASIN(2*C5/C4)</f>
        <v>0.33983690945412193</v>
      </c>
      <c r="D9" s="2" t="s">
        <v>13</v>
      </c>
      <c r="E9" s="5">
        <f>DEGREES(C9)</f>
        <v>19.471220634490692</v>
      </c>
      <c r="F9" s="2" t="s">
        <v>12</v>
      </c>
      <c r="H9" s="11">
        <v>5</v>
      </c>
      <c r="I9" s="2">
        <f t="shared" si="1"/>
        <v>1.9023972606648309</v>
      </c>
      <c r="J9" s="2">
        <f t="shared" si="2"/>
        <v>-1.1087983796101748</v>
      </c>
      <c r="K9" s="2">
        <f t="shared" si="3"/>
        <v>1.9023972606648309</v>
      </c>
      <c r="L9" s="2">
        <f t="shared" si="4"/>
        <v>1.1087983796101748</v>
      </c>
      <c r="M9" s="17">
        <f t="shared" si="5"/>
        <v>11.087983796101748</v>
      </c>
      <c r="N9" s="18">
        <f t="shared" si="6"/>
        <v>-0.19023972606648309</v>
      </c>
      <c r="O9" s="18">
        <f t="shared" si="7"/>
        <v>11.087983796101748</v>
      </c>
      <c r="P9" s="18">
        <f t="shared" si="8"/>
        <v>0.19023972606648309</v>
      </c>
      <c r="Q9" s="19">
        <f t="shared" si="9"/>
        <v>10.548230593998165</v>
      </c>
      <c r="R9">
        <f t="shared" si="10"/>
        <v>-0.39111802995823558</v>
      </c>
      <c r="S9">
        <f t="shared" si="11"/>
        <v>10.548230593998165</v>
      </c>
      <c r="T9">
        <f t="shared" si="12"/>
        <v>0.39111802995823558</v>
      </c>
    </row>
    <row r="10" spans="1:23" x14ac:dyDescent="0.25">
      <c r="A10" t="s">
        <v>14</v>
      </c>
      <c r="B10" s="4" t="s">
        <v>11</v>
      </c>
      <c r="C10" s="2">
        <f>C9/2</f>
        <v>0.16991845472706096</v>
      </c>
      <c r="D10" s="2" t="s">
        <v>13</v>
      </c>
      <c r="E10" s="5">
        <f>DEGREES(C10)</f>
        <v>9.7356103172453459</v>
      </c>
      <c r="F10" s="2" t="s">
        <v>12</v>
      </c>
      <c r="H10" s="11">
        <v>6</v>
      </c>
      <c r="I10" s="2">
        <f t="shared" ref="I10:I29" si="14">IF(H10&lt;=$C$12,$H10*$C$4*SIN($C$10),"")</f>
        <v>2.2828767127977971</v>
      </c>
      <c r="J10" s="2">
        <f t="shared" ref="J10:J29" si="15">IF(H10&lt;=$C$12,IF(ISEVEN($H10),$C$4*COS($C$10)/2,-$C$4*COS($C$10)/2),"")</f>
        <v>1.1087983796101748</v>
      </c>
      <c r="K10" s="2">
        <f t="shared" ref="K10:K29" si="16">IF(H10&lt;=$C$12,$H10*$C$4*SIN($C$10),"")</f>
        <v>2.2828767127977971</v>
      </c>
      <c r="L10" s="2">
        <f t="shared" ref="L10:L29" si="17">IF(H10&lt;=$C$12,IF(ISODD($H10),$C$4*COS($C$10)/2,-$C$4*COS($C$10)/2),"")</f>
        <v>-1.1087983796101748</v>
      </c>
      <c r="M10" s="17">
        <f t="shared" ref="M10:M29" si="18">IF(H10&lt;=$C$12,$H10*$C$4*COS($C$10),"")</f>
        <v>13.305580555322098</v>
      </c>
      <c r="N10" s="18">
        <f t="shared" ref="N10:N29" si="19">IF(H10&lt;=$C$12,IF(ISEVEN($H10),$C$4*SIN($C$10)/2,-$C$4*SIN($C$10)/2),"")</f>
        <v>0.19023972606648309</v>
      </c>
      <c r="O10" s="18">
        <f t="shared" ref="O10:O29" si="20">IF(H10&lt;=$C$12,$H10*$C$4*COS($C$10),"")</f>
        <v>13.305580555322098</v>
      </c>
      <c r="P10" s="18">
        <f t="shared" ref="P10:P29" si="21">IF(H10&lt;=$C$12,IF(ISODD($H10),$C$4*SIN($C$10)/2,-$C$4*SIN($C$10)/2),"")</f>
        <v>-0.19023972606648309</v>
      </c>
      <c r="Q10" s="19">
        <f t="shared" si="9"/>
        <v>12.657876712797798</v>
      </c>
      <c r="R10">
        <f t="shared" si="10"/>
        <v>0.39111802995823558</v>
      </c>
      <c r="S10">
        <f t="shared" si="11"/>
        <v>12.657876712797798</v>
      </c>
      <c r="T10">
        <f t="shared" si="12"/>
        <v>-0.39111802995823558</v>
      </c>
    </row>
    <row r="11" spans="1:23" x14ac:dyDescent="0.25">
      <c r="H11" s="11">
        <v>7</v>
      </c>
      <c r="I11" s="2" t="str">
        <f t="shared" si="14"/>
        <v/>
      </c>
      <c r="J11" s="2" t="str">
        <f t="shared" si="15"/>
        <v/>
      </c>
      <c r="K11" s="2" t="str">
        <f t="shared" si="16"/>
        <v/>
      </c>
      <c r="L11" s="2" t="str">
        <f t="shared" si="17"/>
        <v/>
      </c>
      <c r="M11" s="17" t="str">
        <f t="shared" si="18"/>
        <v/>
      </c>
      <c r="N11" s="18" t="str">
        <f t="shared" si="19"/>
        <v/>
      </c>
      <c r="O11" s="18" t="str">
        <f t="shared" si="20"/>
        <v/>
      </c>
      <c r="P11" s="18" t="str">
        <f t="shared" si="21"/>
        <v/>
      </c>
      <c r="Q11" s="19" t="str">
        <f t="shared" si="9"/>
        <v/>
      </c>
      <c r="R11" t="str">
        <f t="shared" si="10"/>
        <v/>
      </c>
      <c r="S11" t="str">
        <f t="shared" si="11"/>
        <v/>
      </c>
      <c r="T11" t="str">
        <f t="shared" si="12"/>
        <v/>
      </c>
    </row>
    <row r="12" spans="1:23" x14ac:dyDescent="0.25">
      <c r="A12" t="s">
        <v>8</v>
      </c>
      <c r="B12" s="3" t="s">
        <v>9</v>
      </c>
      <c r="C12">
        <v>6</v>
      </c>
      <c r="H12" s="11">
        <v>8</v>
      </c>
      <c r="I12" s="2" t="str">
        <f t="shared" si="14"/>
        <v/>
      </c>
      <c r="J12" s="2" t="str">
        <f t="shared" si="15"/>
        <v/>
      </c>
      <c r="K12" s="2" t="str">
        <f t="shared" si="16"/>
        <v/>
      </c>
      <c r="L12" s="2" t="str">
        <f t="shared" si="17"/>
        <v/>
      </c>
      <c r="M12" s="17" t="str">
        <f t="shared" si="18"/>
        <v/>
      </c>
      <c r="N12" s="18" t="str">
        <f t="shared" si="19"/>
        <v/>
      </c>
      <c r="O12" s="18" t="str">
        <f t="shared" si="20"/>
        <v/>
      </c>
      <c r="P12" s="18" t="str">
        <f t="shared" si="21"/>
        <v/>
      </c>
      <c r="Q12" s="19" t="str">
        <f t="shared" si="9"/>
        <v/>
      </c>
      <c r="R12" t="str">
        <f t="shared" si="10"/>
        <v/>
      </c>
      <c r="S12" t="str">
        <f t="shared" si="11"/>
        <v/>
      </c>
      <c r="T12" t="str">
        <f t="shared" si="12"/>
        <v/>
      </c>
    </row>
    <row r="13" spans="1:23" x14ac:dyDescent="0.25">
      <c r="H13" s="11">
        <v>9</v>
      </c>
      <c r="I13" s="2" t="str">
        <f t="shared" si="14"/>
        <v/>
      </c>
      <c r="J13" s="2" t="str">
        <f t="shared" si="15"/>
        <v/>
      </c>
      <c r="K13" s="2" t="str">
        <f t="shared" si="16"/>
        <v/>
      </c>
      <c r="L13" s="2" t="str">
        <f t="shared" si="17"/>
        <v/>
      </c>
      <c r="M13" s="17" t="str">
        <f t="shared" si="18"/>
        <v/>
      </c>
      <c r="N13" s="18" t="str">
        <f t="shared" si="19"/>
        <v/>
      </c>
      <c r="O13" s="18" t="str">
        <f t="shared" si="20"/>
        <v/>
      </c>
      <c r="P13" s="18" t="str">
        <f t="shared" si="21"/>
        <v/>
      </c>
      <c r="Q13" s="19" t="str">
        <f t="shared" si="9"/>
        <v/>
      </c>
      <c r="R13" t="str">
        <f t="shared" si="10"/>
        <v/>
      </c>
      <c r="S13" t="str">
        <f t="shared" si="11"/>
        <v/>
      </c>
      <c r="T13" t="str">
        <f t="shared" si="12"/>
        <v/>
      </c>
    </row>
    <row r="14" spans="1:23" x14ac:dyDescent="0.25">
      <c r="A14" t="s">
        <v>15</v>
      </c>
      <c r="B14" s="3" t="s">
        <v>16</v>
      </c>
      <c r="C14" s="2">
        <f>C$4*COS(C$10)+C$5</f>
        <v>2.5925967592203496</v>
      </c>
      <c r="D14" s="2" t="s">
        <v>1</v>
      </c>
      <c r="E14" s="5">
        <f t="shared" ref="E14" si="22">IFERROR(C14*25.4,0)</f>
        <v>65.851957684196876</v>
      </c>
      <c r="F14" s="5" t="s">
        <v>2</v>
      </c>
      <c r="H14" s="11">
        <v>10</v>
      </c>
      <c r="I14" s="2" t="str">
        <f t="shared" si="14"/>
        <v/>
      </c>
      <c r="J14" s="2" t="str">
        <f t="shared" si="15"/>
        <v/>
      </c>
      <c r="K14" s="2" t="str">
        <f t="shared" si="16"/>
        <v/>
      </c>
      <c r="L14" s="2" t="str">
        <f t="shared" si="17"/>
        <v/>
      </c>
      <c r="M14" s="17" t="str">
        <f t="shared" si="18"/>
        <v/>
      </c>
      <c r="N14" s="18" t="str">
        <f t="shared" si="19"/>
        <v/>
      </c>
      <c r="O14" s="18" t="str">
        <f t="shared" si="20"/>
        <v/>
      </c>
      <c r="P14" s="18" t="str">
        <f t="shared" si="21"/>
        <v/>
      </c>
      <c r="Q14" s="19" t="str">
        <f t="shared" si="9"/>
        <v/>
      </c>
      <c r="R14" t="str">
        <f t="shared" si="10"/>
        <v/>
      </c>
      <c r="S14" t="str">
        <f t="shared" si="11"/>
        <v/>
      </c>
      <c r="T14" t="str">
        <f t="shared" si="12"/>
        <v/>
      </c>
    </row>
    <row r="15" spans="1:23" x14ac:dyDescent="0.25">
      <c r="A15" t="s">
        <v>29</v>
      </c>
      <c r="B15" s="3" t="s">
        <v>30</v>
      </c>
      <c r="C15" s="2">
        <f>C$4*SIN(C$10)*C$12+C$5</f>
        <v>2.6578767127977971</v>
      </c>
      <c r="D15" s="2" t="s">
        <v>1</v>
      </c>
      <c r="E15" s="5">
        <f t="shared" ref="E15:E16" si="23">IFERROR(C15*25.4,0)</f>
        <v>67.510068505064041</v>
      </c>
      <c r="F15" s="5" t="s">
        <v>2</v>
      </c>
      <c r="H15" s="11">
        <v>11</v>
      </c>
      <c r="I15" s="2" t="str">
        <f t="shared" si="14"/>
        <v/>
      </c>
      <c r="J15" s="2" t="str">
        <f t="shared" si="15"/>
        <v/>
      </c>
      <c r="K15" s="2" t="str">
        <f t="shared" si="16"/>
        <v/>
      </c>
      <c r="L15" s="2" t="str">
        <f t="shared" si="17"/>
        <v/>
      </c>
      <c r="M15" s="17" t="str">
        <f t="shared" si="18"/>
        <v/>
      </c>
      <c r="N15" s="18" t="str">
        <f t="shared" si="19"/>
        <v/>
      </c>
      <c r="O15" s="18" t="str">
        <f t="shared" si="20"/>
        <v/>
      </c>
      <c r="P15" s="18" t="str">
        <f t="shared" si="21"/>
        <v/>
      </c>
      <c r="Q15" s="19" t="str">
        <f t="shared" si="9"/>
        <v/>
      </c>
      <c r="R15" t="str">
        <f t="shared" si="10"/>
        <v/>
      </c>
      <c r="S15" t="str">
        <f t="shared" si="11"/>
        <v/>
      </c>
      <c r="T15" t="str">
        <f t="shared" si="12"/>
        <v/>
      </c>
    </row>
    <row r="16" spans="1:23" x14ac:dyDescent="0.25">
      <c r="A16" s="7" t="s">
        <v>34</v>
      </c>
      <c r="C16" s="2">
        <f>C$4*COS(C$10)</f>
        <v>2.2175967592203496</v>
      </c>
      <c r="D16" s="2" t="s">
        <v>1</v>
      </c>
      <c r="E16" s="5">
        <f t="shared" si="23"/>
        <v>56.326957684196877</v>
      </c>
      <c r="F16" s="5" t="s">
        <v>2</v>
      </c>
      <c r="H16" s="11">
        <v>12</v>
      </c>
      <c r="I16" s="2" t="str">
        <f t="shared" si="14"/>
        <v/>
      </c>
      <c r="J16" s="2" t="str">
        <f t="shared" si="15"/>
        <v/>
      </c>
      <c r="K16" s="2" t="str">
        <f t="shared" si="16"/>
        <v/>
      </c>
      <c r="L16" s="2" t="str">
        <f t="shared" si="17"/>
        <v/>
      </c>
      <c r="M16" s="17" t="str">
        <f t="shared" si="18"/>
        <v/>
      </c>
      <c r="N16" s="18" t="str">
        <f t="shared" si="19"/>
        <v/>
      </c>
      <c r="O16" s="18" t="str">
        <f t="shared" si="20"/>
        <v/>
      </c>
      <c r="P16" s="18" t="str">
        <f t="shared" si="21"/>
        <v/>
      </c>
      <c r="Q16" s="19" t="str">
        <f t="shared" si="9"/>
        <v/>
      </c>
      <c r="R16" t="str">
        <f t="shared" si="10"/>
        <v/>
      </c>
      <c r="S16" t="str">
        <f t="shared" si="11"/>
        <v/>
      </c>
      <c r="T16" t="str">
        <f t="shared" si="12"/>
        <v/>
      </c>
    </row>
    <row r="17" spans="1:41" x14ac:dyDescent="0.25">
      <c r="A17" s="7" t="s">
        <v>37</v>
      </c>
      <c r="C17" s="2">
        <f>C$4*SIN(C$10)*C$12</f>
        <v>2.2828767127977971</v>
      </c>
      <c r="D17" s="2" t="s">
        <v>1</v>
      </c>
      <c r="E17" s="5">
        <f t="shared" ref="E17" si="24">IFERROR(C17*25.4,0)</f>
        <v>57.985068505064042</v>
      </c>
      <c r="F17" s="5" t="s">
        <v>2</v>
      </c>
      <c r="H17" s="11">
        <v>13</v>
      </c>
      <c r="I17" s="2" t="str">
        <f t="shared" si="14"/>
        <v/>
      </c>
      <c r="J17" s="2" t="str">
        <f t="shared" si="15"/>
        <v/>
      </c>
      <c r="K17" s="2" t="str">
        <f t="shared" si="16"/>
        <v/>
      </c>
      <c r="L17" s="2" t="str">
        <f t="shared" si="17"/>
        <v/>
      </c>
      <c r="M17" s="17" t="str">
        <f t="shared" si="18"/>
        <v/>
      </c>
      <c r="N17" s="18" t="str">
        <f t="shared" si="19"/>
        <v/>
      </c>
      <c r="O17" s="18" t="str">
        <f t="shared" si="20"/>
        <v/>
      </c>
      <c r="P17" s="18" t="str">
        <f t="shared" si="21"/>
        <v/>
      </c>
      <c r="Q17" s="19" t="str">
        <f t="shared" si="9"/>
        <v/>
      </c>
      <c r="R17" t="str">
        <f t="shared" si="10"/>
        <v/>
      </c>
      <c r="S17" t="str">
        <f t="shared" si="11"/>
        <v/>
      </c>
      <c r="T17" t="str">
        <f t="shared" si="12"/>
        <v/>
      </c>
    </row>
    <row r="18" spans="1:41" x14ac:dyDescent="0.25">
      <c r="H18" s="11">
        <v>14</v>
      </c>
      <c r="I18" s="2" t="str">
        <f t="shared" si="14"/>
        <v/>
      </c>
      <c r="J18" s="2" t="str">
        <f t="shared" si="15"/>
        <v/>
      </c>
      <c r="K18" s="2" t="str">
        <f t="shared" si="16"/>
        <v/>
      </c>
      <c r="L18" s="2" t="str">
        <f t="shared" si="17"/>
        <v/>
      </c>
      <c r="M18" s="17" t="str">
        <f t="shared" si="18"/>
        <v/>
      </c>
      <c r="N18" s="18" t="str">
        <f t="shared" si="19"/>
        <v/>
      </c>
      <c r="O18" s="18" t="str">
        <f t="shared" si="20"/>
        <v/>
      </c>
      <c r="P18" s="18" t="str">
        <f t="shared" si="21"/>
        <v/>
      </c>
      <c r="Q18" s="19" t="str">
        <f t="shared" si="9"/>
        <v/>
      </c>
      <c r="R18" t="str">
        <f t="shared" si="10"/>
        <v/>
      </c>
      <c r="S18" t="str">
        <f t="shared" si="11"/>
        <v/>
      </c>
      <c r="T18" t="str">
        <f t="shared" si="12"/>
        <v/>
      </c>
    </row>
    <row r="19" spans="1:41" x14ac:dyDescent="0.25">
      <c r="A19" t="s">
        <v>18</v>
      </c>
      <c r="B19" s="3" t="s">
        <v>32</v>
      </c>
      <c r="C19" s="2">
        <f>C$4*SIN(C$10)+C$5</f>
        <v>0.75547945213296619</v>
      </c>
      <c r="D19" s="2" t="s">
        <v>1</v>
      </c>
      <c r="E19" s="5">
        <f>IFERROR(C19*25.4,0)</f>
        <v>19.189178084177339</v>
      </c>
      <c r="F19" s="5" t="s">
        <v>2</v>
      </c>
      <c r="H19" s="11">
        <v>15</v>
      </c>
      <c r="I19" s="2" t="str">
        <f t="shared" si="14"/>
        <v/>
      </c>
      <c r="J19" s="2" t="str">
        <f t="shared" si="15"/>
        <v/>
      </c>
      <c r="K19" s="2" t="str">
        <f t="shared" si="16"/>
        <v/>
      </c>
      <c r="L19" s="2" t="str">
        <f t="shared" si="17"/>
        <v/>
      </c>
      <c r="M19" s="17" t="str">
        <f t="shared" si="18"/>
        <v/>
      </c>
      <c r="N19" s="18" t="str">
        <f t="shared" si="19"/>
        <v/>
      </c>
      <c r="O19" s="18" t="str">
        <f t="shared" si="20"/>
        <v/>
      </c>
      <c r="P19" s="18" t="str">
        <f t="shared" si="21"/>
        <v/>
      </c>
      <c r="Q19" s="19" t="str">
        <f t="shared" si="9"/>
        <v/>
      </c>
      <c r="R19" t="str">
        <f t="shared" si="10"/>
        <v/>
      </c>
      <c r="S19" t="str">
        <f t="shared" si="11"/>
        <v/>
      </c>
      <c r="T19" t="str">
        <f t="shared" si="12"/>
        <v/>
      </c>
    </row>
    <row r="20" spans="1:41" x14ac:dyDescent="0.25">
      <c r="A20" t="s">
        <v>28</v>
      </c>
      <c r="B20" s="3" t="s">
        <v>31</v>
      </c>
      <c r="C20" s="2">
        <f>C$4*COS(C$10)*C$12+C$5</f>
        <v>13.680580555322098</v>
      </c>
      <c r="D20" s="2" t="s">
        <v>1</v>
      </c>
      <c r="E20" s="5">
        <f>IFERROR(C20*25.4,0)</f>
        <v>347.48674610518128</v>
      </c>
      <c r="F20" s="5" t="s">
        <v>2</v>
      </c>
      <c r="H20" s="11">
        <v>16</v>
      </c>
      <c r="I20" s="2" t="str">
        <f t="shared" si="14"/>
        <v/>
      </c>
      <c r="J20" s="2" t="str">
        <f t="shared" si="15"/>
        <v/>
      </c>
      <c r="K20" s="2" t="str">
        <f t="shared" si="16"/>
        <v/>
      </c>
      <c r="L20" s="2" t="str">
        <f t="shared" si="17"/>
        <v/>
      </c>
      <c r="M20" s="17" t="str">
        <f t="shared" si="18"/>
        <v/>
      </c>
      <c r="N20" s="18" t="str">
        <f t="shared" si="19"/>
        <v/>
      </c>
      <c r="O20" s="18" t="str">
        <f t="shared" si="20"/>
        <v/>
      </c>
      <c r="P20" s="18" t="str">
        <f t="shared" si="21"/>
        <v/>
      </c>
      <c r="Q20" s="19" t="str">
        <f t="shared" si="9"/>
        <v/>
      </c>
      <c r="R20" t="str">
        <f t="shared" si="10"/>
        <v/>
      </c>
      <c r="S20" t="str">
        <f t="shared" si="11"/>
        <v/>
      </c>
      <c r="T20" t="str">
        <f t="shared" si="12"/>
        <v/>
      </c>
    </row>
    <row r="21" spans="1:41" x14ac:dyDescent="0.25">
      <c r="A21" s="7" t="s">
        <v>35</v>
      </c>
      <c r="C21" s="2">
        <f>C$4*SIN(C$10)</f>
        <v>0.38047945213296619</v>
      </c>
      <c r="D21" s="2" t="s">
        <v>1</v>
      </c>
      <c r="E21" s="5">
        <f>IFERROR(C21*25.4,0)</f>
        <v>9.6641780841773404</v>
      </c>
      <c r="F21" s="5" t="s">
        <v>2</v>
      </c>
      <c r="H21" s="11">
        <v>17</v>
      </c>
      <c r="I21" s="2" t="str">
        <f t="shared" si="14"/>
        <v/>
      </c>
      <c r="J21" s="2" t="str">
        <f t="shared" si="15"/>
        <v/>
      </c>
      <c r="K21" s="2" t="str">
        <f t="shared" si="16"/>
        <v/>
      </c>
      <c r="L21" s="2" t="str">
        <f t="shared" si="17"/>
        <v/>
      </c>
      <c r="M21" s="17" t="str">
        <f t="shared" si="18"/>
        <v/>
      </c>
      <c r="N21" s="18" t="str">
        <f t="shared" si="19"/>
        <v/>
      </c>
      <c r="O21" s="18" t="str">
        <f t="shared" si="20"/>
        <v/>
      </c>
      <c r="P21" s="18" t="str">
        <f t="shared" si="21"/>
        <v/>
      </c>
      <c r="Q21" s="19" t="str">
        <f t="shared" si="9"/>
        <v/>
      </c>
      <c r="R21" t="str">
        <f t="shared" si="10"/>
        <v/>
      </c>
      <c r="S21" t="str">
        <f t="shared" si="11"/>
        <v/>
      </c>
      <c r="T21" t="str">
        <f t="shared" si="12"/>
        <v/>
      </c>
    </row>
    <row r="22" spans="1:41" x14ac:dyDescent="0.25">
      <c r="A22" s="7" t="s">
        <v>36</v>
      </c>
      <c r="C22" s="2">
        <f>C$4*COS(C$10)*C$12</f>
        <v>13.305580555322098</v>
      </c>
      <c r="D22" s="2" t="s">
        <v>1</v>
      </c>
      <c r="E22" s="5">
        <f>IFERROR(C22*25.4,0)</f>
        <v>337.96174610518131</v>
      </c>
      <c r="F22" s="5" t="s">
        <v>2</v>
      </c>
      <c r="H22" s="11">
        <v>18</v>
      </c>
      <c r="I22" s="2" t="str">
        <f t="shared" si="14"/>
        <v/>
      </c>
      <c r="J22" s="2" t="str">
        <f t="shared" si="15"/>
        <v/>
      </c>
      <c r="K22" s="2" t="str">
        <f t="shared" si="16"/>
        <v/>
      </c>
      <c r="L22" s="2" t="str">
        <f t="shared" si="17"/>
        <v/>
      </c>
      <c r="M22" s="17" t="str">
        <f t="shared" si="18"/>
        <v/>
      </c>
      <c r="N22" s="18" t="str">
        <f t="shared" si="19"/>
        <v/>
      </c>
      <c r="O22" s="18" t="str">
        <f t="shared" si="20"/>
        <v/>
      </c>
      <c r="P22" s="18" t="str">
        <f t="shared" si="21"/>
        <v/>
      </c>
      <c r="Q22" s="19" t="str">
        <f t="shared" si="9"/>
        <v/>
      </c>
      <c r="R22" t="str">
        <f t="shared" si="10"/>
        <v/>
      </c>
      <c r="S22" t="str">
        <f t="shared" si="11"/>
        <v/>
      </c>
      <c r="T22" t="str">
        <f t="shared" si="12"/>
        <v/>
      </c>
    </row>
    <row r="23" spans="1:41" x14ac:dyDescent="0.25">
      <c r="H23" s="11">
        <v>19</v>
      </c>
      <c r="I23" s="2" t="str">
        <f t="shared" si="14"/>
        <v/>
      </c>
      <c r="J23" s="2" t="str">
        <f t="shared" si="15"/>
        <v/>
      </c>
      <c r="K23" s="2" t="str">
        <f t="shared" si="16"/>
        <v/>
      </c>
      <c r="L23" s="2" t="str">
        <f t="shared" si="17"/>
        <v/>
      </c>
      <c r="M23" s="17" t="str">
        <f t="shared" si="18"/>
        <v/>
      </c>
      <c r="N23" s="18" t="str">
        <f t="shared" si="19"/>
        <v/>
      </c>
      <c r="O23" s="18" t="str">
        <f t="shared" si="20"/>
        <v/>
      </c>
      <c r="P23" s="18" t="str">
        <f t="shared" si="21"/>
        <v/>
      </c>
      <c r="Q23" s="19" t="str">
        <f t="shared" si="9"/>
        <v/>
      </c>
      <c r="R23" t="str">
        <f t="shared" si="10"/>
        <v/>
      </c>
      <c r="S23" t="str">
        <f t="shared" si="11"/>
        <v/>
      </c>
      <c r="T23" t="str">
        <f t="shared" si="12"/>
        <v/>
      </c>
    </row>
    <row r="24" spans="1:41" x14ac:dyDescent="0.25">
      <c r="A24" t="s">
        <v>110</v>
      </c>
      <c r="B24" s="3" t="s">
        <v>21</v>
      </c>
      <c r="C24" s="6">
        <f>C20-C15</f>
        <v>11.022703842524301</v>
      </c>
      <c r="D24" s="6" t="s">
        <v>1</v>
      </c>
      <c r="E24" s="8">
        <f>IFERROR(C24*25.4,0)</f>
        <v>279.97667760011723</v>
      </c>
      <c r="F24" s="8" t="s">
        <v>2</v>
      </c>
      <c r="H24" s="11">
        <v>20</v>
      </c>
      <c r="I24" s="2" t="str">
        <f t="shared" si="14"/>
        <v/>
      </c>
      <c r="J24" s="2" t="str">
        <f t="shared" si="15"/>
        <v/>
      </c>
      <c r="K24" s="2" t="str">
        <f t="shared" si="16"/>
        <v/>
      </c>
      <c r="L24" s="2" t="str">
        <f t="shared" si="17"/>
        <v/>
      </c>
      <c r="M24" s="17" t="str">
        <f t="shared" si="18"/>
        <v/>
      </c>
      <c r="N24" s="18" t="str">
        <f t="shared" si="19"/>
        <v/>
      </c>
      <c r="O24" s="18" t="str">
        <f t="shared" si="20"/>
        <v/>
      </c>
      <c r="P24" s="18" t="str">
        <f t="shared" si="21"/>
        <v/>
      </c>
      <c r="Q24" s="19" t="str">
        <f t="shared" si="9"/>
        <v/>
      </c>
      <c r="R24" t="str">
        <f t="shared" si="10"/>
        <v/>
      </c>
      <c r="S24" t="str">
        <f t="shared" si="11"/>
        <v/>
      </c>
      <c r="T24" t="str">
        <f t="shared" si="12"/>
        <v/>
      </c>
    </row>
    <row r="25" spans="1:41" x14ac:dyDescent="0.25">
      <c r="A25" t="s">
        <v>111</v>
      </c>
      <c r="B25" s="3" t="s">
        <v>64</v>
      </c>
      <c r="C25" s="6">
        <f>r_z_1-e_z_1</f>
        <v>0.91855865354369171</v>
      </c>
      <c r="D25" s="6" t="s">
        <v>1</v>
      </c>
      <c r="E25" s="8">
        <f>IFERROR(C25*25.4,0)</f>
        <v>23.331389800009767</v>
      </c>
      <c r="F25" s="8" t="s">
        <v>2</v>
      </c>
      <c r="H25" s="42">
        <v>21</v>
      </c>
      <c r="I25" s="2" t="str">
        <f t="shared" si="14"/>
        <v/>
      </c>
      <c r="J25" s="2" t="str">
        <f t="shared" si="15"/>
        <v/>
      </c>
      <c r="K25" s="2" t="str">
        <f t="shared" si="16"/>
        <v/>
      </c>
      <c r="L25" s="2" t="str">
        <f t="shared" si="17"/>
        <v/>
      </c>
      <c r="M25" s="18" t="str">
        <f t="shared" si="18"/>
        <v/>
      </c>
      <c r="N25" s="18" t="str">
        <f t="shared" si="19"/>
        <v/>
      </c>
      <c r="O25" s="18" t="str">
        <f t="shared" si="20"/>
        <v/>
      </c>
      <c r="P25" s="18" t="str">
        <f t="shared" si="21"/>
        <v/>
      </c>
      <c r="Q25" s="43" t="str">
        <f t="shared" si="9"/>
        <v/>
      </c>
      <c r="R25" t="str">
        <f t="shared" si="10"/>
        <v/>
      </c>
      <c r="S25" t="str">
        <f t="shared" si="11"/>
        <v/>
      </c>
      <c r="T25" t="str">
        <f t="shared" si="12"/>
        <v/>
      </c>
    </row>
    <row r="26" spans="1:41" x14ac:dyDescent="0.25">
      <c r="A26" t="s">
        <v>26</v>
      </c>
      <c r="B26" s="3" t="s">
        <v>27</v>
      </c>
      <c r="C26" s="6">
        <f>C20/C15</f>
        <v>5.1471840245446607</v>
      </c>
      <c r="D26" s="6" t="s">
        <v>33</v>
      </c>
      <c r="H26" s="42">
        <v>22</v>
      </c>
      <c r="I26" s="2" t="str">
        <f t="shared" si="14"/>
        <v/>
      </c>
      <c r="J26" s="2" t="str">
        <f t="shared" si="15"/>
        <v/>
      </c>
      <c r="K26" s="2" t="str">
        <f t="shared" si="16"/>
        <v/>
      </c>
      <c r="L26" s="40" t="str">
        <f t="shared" si="17"/>
        <v/>
      </c>
      <c r="M26" s="40" t="str">
        <f t="shared" si="18"/>
        <v/>
      </c>
      <c r="N26" s="40" t="str">
        <f t="shared" si="19"/>
        <v/>
      </c>
      <c r="O26" s="40" t="str">
        <f t="shared" si="20"/>
        <v/>
      </c>
      <c r="P26" s="40" t="str">
        <f t="shared" si="21"/>
        <v/>
      </c>
      <c r="Q26" s="43" t="str">
        <f t="shared" si="9"/>
        <v/>
      </c>
      <c r="R26" t="str">
        <f t="shared" si="10"/>
        <v/>
      </c>
      <c r="S26" t="str">
        <f t="shared" si="11"/>
        <v/>
      </c>
      <c r="T26" t="str">
        <f t="shared" si="12"/>
        <v/>
      </c>
    </row>
    <row r="27" spans="1:41" x14ac:dyDescent="0.25">
      <c r="A27" t="s">
        <v>108</v>
      </c>
      <c r="B27" s="3" t="s">
        <v>41</v>
      </c>
      <c r="C27" s="2">
        <f>C12*3+2</f>
        <v>20</v>
      </c>
      <c r="D27" s="2" t="s">
        <v>42</v>
      </c>
      <c r="H27" s="42">
        <v>23</v>
      </c>
      <c r="I27" s="2" t="str">
        <f t="shared" si="14"/>
        <v/>
      </c>
      <c r="J27" s="2" t="str">
        <f t="shared" si="15"/>
        <v/>
      </c>
      <c r="K27" s="2" t="str">
        <f t="shared" si="16"/>
        <v/>
      </c>
      <c r="L27" s="40" t="str">
        <f t="shared" si="17"/>
        <v/>
      </c>
      <c r="M27" s="40" t="str">
        <f t="shared" si="18"/>
        <v/>
      </c>
      <c r="N27" s="40" t="str">
        <f t="shared" si="19"/>
        <v/>
      </c>
      <c r="O27" s="40" t="str">
        <f t="shared" si="20"/>
        <v/>
      </c>
      <c r="P27" s="40" t="str">
        <f t="shared" si="21"/>
        <v/>
      </c>
      <c r="Q27" s="43" t="str">
        <f t="shared" si="9"/>
        <v/>
      </c>
      <c r="R27" t="str">
        <f t="shared" si="10"/>
        <v/>
      </c>
      <c r="S27" t="str">
        <f t="shared" si="11"/>
        <v/>
      </c>
      <c r="T27" t="str">
        <f t="shared" si="12"/>
        <v/>
      </c>
    </row>
    <row r="28" spans="1:41" x14ac:dyDescent="0.25">
      <c r="H28" s="42">
        <v>24</v>
      </c>
      <c r="I28" s="2" t="str">
        <f t="shared" si="14"/>
        <v/>
      </c>
      <c r="J28" s="2" t="str">
        <f t="shared" si="15"/>
        <v/>
      </c>
      <c r="K28" s="2" t="str">
        <f t="shared" si="16"/>
        <v/>
      </c>
      <c r="L28" s="40" t="str">
        <f t="shared" si="17"/>
        <v/>
      </c>
      <c r="M28" s="40" t="str">
        <f t="shared" si="18"/>
        <v/>
      </c>
      <c r="N28" s="40" t="str">
        <f t="shared" si="19"/>
        <v/>
      </c>
      <c r="O28" s="40" t="str">
        <f t="shared" si="20"/>
        <v/>
      </c>
      <c r="P28" s="40" t="str">
        <f t="shared" si="21"/>
        <v/>
      </c>
      <c r="Q28" s="43" t="str">
        <f t="shared" si="9"/>
        <v/>
      </c>
      <c r="R28" t="str">
        <f t="shared" si="10"/>
        <v/>
      </c>
      <c r="S28" t="str">
        <f t="shared" si="11"/>
        <v/>
      </c>
      <c r="T28" t="str">
        <f t="shared" si="12"/>
        <v/>
      </c>
    </row>
    <row r="29" spans="1:41" x14ac:dyDescent="0.25">
      <c r="A29" t="s">
        <v>45</v>
      </c>
      <c r="B29" s="3" t="s">
        <v>47</v>
      </c>
      <c r="C29">
        <v>0.375</v>
      </c>
      <c r="D29" t="s">
        <v>1</v>
      </c>
      <c r="E29" s="1">
        <f>IFERROR(C29*25.4,0)</f>
        <v>9.5249999999999986</v>
      </c>
      <c r="F29" s="1" t="s">
        <v>2</v>
      </c>
      <c r="H29" s="42">
        <v>25</v>
      </c>
      <c r="I29" s="2" t="str">
        <f t="shared" si="14"/>
        <v/>
      </c>
      <c r="J29" s="2" t="str">
        <f t="shared" si="15"/>
        <v/>
      </c>
      <c r="K29" s="2" t="str">
        <f t="shared" si="16"/>
        <v/>
      </c>
      <c r="L29" s="40" t="str">
        <f t="shared" si="17"/>
        <v/>
      </c>
      <c r="M29" s="40" t="str">
        <f t="shared" si="18"/>
        <v/>
      </c>
      <c r="N29" s="40" t="str">
        <f t="shared" si="19"/>
        <v/>
      </c>
      <c r="O29" s="40" t="str">
        <f t="shared" si="20"/>
        <v/>
      </c>
      <c r="P29" s="40" t="str">
        <f t="shared" si="21"/>
        <v/>
      </c>
      <c r="Q29" s="43" t="str">
        <f t="shared" si="9"/>
        <v/>
      </c>
      <c r="R29" t="str">
        <f t="shared" si="10"/>
        <v/>
      </c>
      <c r="S29" t="str">
        <f t="shared" si="11"/>
        <v/>
      </c>
      <c r="T29" t="str">
        <f t="shared" si="12"/>
        <v/>
      </c>
    </row>
    <row r="30" spans="1:41" x14ac:dyDescent="0.25">
      <c r="A30" t="s">
        <v>46</v>
      </c>
      <c r="B30" s="3" t="s">
        <v>48</v>
      </c>
      <c r="C30">
        <v>0.375</v>
      </c>
      <c r="D30" t="s">
        <v>1</v>
      </c>
      <c r="E30" s="1">
        <f t="shared" ref="E30:E31" si="25">IFERROR(C30*25.4,0)</f>
        <v>9.5249999999999986</v>
      </c>
      <c r="F30" s="1" t="s">
        <v>2</v>
      </c>
    </row>
    <row r="31" spans="1:41" x14ac:dyDescent="0.25">
      <c r="A31" s="7" t="s">
        <v>49</v>
      </c>
      <c r="B31" s="20" t="s">
        <v>50</v>
      </c>
      <c r="C31" s="7">
        <v>0.375</v>
      </c>
      <c r="D31" s="7" t="s">
        <v>1</v>
      </c>
      <c r="E31" s="21">
        <f t="shared" si="25"/>
        <v>9.5249999999999986</v>
      </c>
      <c r="F31" s="21" t="s">
        <v>2</v>
      </c>
      <c r="I31" s="15" t="s">
        <v>118</v>
      </c>
    </row>
    <row r="32" spans="1:41" x14ac:dyDescent="0.25">
      <c r="I32" s="41">
        <f>R72</f>
        <v>1.2704502078533867E-4</v>
      </c>
      <c r="U32" s="9" t="s">
        <v>109</v>
      </c>
      <c r="AB32" s="11" t="s">
        <v>119</v>
      </c>
      <c r="AC32" t="s">
        <v>120</v>
      </c>
      <c r="AO32" s="9" t="s">
        <v>109</v>
      </c>
    </row>
    <row r="33" spans="1:48" x14ac:dyDescent="0.25">
      <c r="A33" t="s">
        <v>51</v>
      </c>
      <c r="B33" s="3" t="s">
        <v>54</v>
      </c>
      <c r="C33">
        <v>5.0000000000000001E-4</v>
      </c>
      <c r="D33" t="s">
        <v>1</v>
      </c>
      <c r="E33" s="1">
        <f>IFERROR(C33*25.4,0)</f>
        <v>1.2699999999999999E-2</v>
      </c>
      <c r="F33" s="1" t="s">
        <v>2</v>
      </c>
      <c r="H33" s="11"/>
      <c r="I33" s="44" t="s">
        <v>67</v>
      </c>
      <c r="J33" s="45"/>
      <c r="K33" s="45"/>
      <c r="L33" s="45"/>
      <c r="M33" s="46"/>
      <c r="N33" s="44" t="s">
        <v>73</v>
      </c>
      <c r="O33" s="45"/>
      <c r="P33" s="45"/>
      <c r="Q33" s="45"/>
      <c r="R33" s="46"/>
      <c r="S33" s="44" t="s">
        <v>74</v>
      </c>
      <c r="T33" s="45"/>
      <c r="U33" s="45"/>
      <c r="V33" s="45"/>
      <c r="W33" s="46"/>
      <c r="X33" s="44" t="s">
        <v>75</v>
      </c>
      <c r="Y33" s="45"/>
      <c r="Z33" s="45"/>
      <c r="AA33" s="45"/>
      <c r="AB33" s="46"/>
      <c r="AC33" s="44" t="s">
        <v>67</v>
      </c>
      <c r="AD33" s="45"/>
      <c r="AE33" s="45"/>
      <c r="AF33" s="45"/>
      <c r="AG33" s="46"/>
      <c r="AH33" s="44" t="s">
        <v>73</v>
      </c>
      <c r="AI33" s="45"/>
      <c r="AJ33" s="45"/>
      <c r="AK33" s="45"/>
      <c r="AL33" s="46"/>
      <c r="AM33" s="44" t="s">
        <v>74</v>
      </c>
      <c r="AN33" s="45"/>
      <c r="AO33" s="45"/>
      <c r="AP33" s="45"/>
      <c r="AQ33" s="46"/>
      <c r="AR33" s="44" t="s">
        <v>75</v>
      </c>
      <c r="AS33" s="45"/>
      <c r="AT33" s="45"/>
      <c r="AU33" s="45"/>
      <c r="AV33" s="46"/>
    </row>
    <row r="34" spans="1:48" x14ac:dyDescent="0.25">
      <c r="A34" t="s">
        <v>52</v>
      </c>
      <c r="B34" s="3" t="s">
        <v>53</v>
      </c>
      <c r="C34" s="2">
        <f>C7+C33</f>
        <v>0.188</v>
      </c>
      <c r="D34" s="2" t="s">
        <v>1</v>
      </c>
      <c r="E34" s="5">
        <f>IFERROR(C34*25.4,0)</f>
        <v>4.7751999999999999</v>
      </c>
      <c r="F34" s="5" t="s">
        <v>2</v>
      </c>
      <c r="H34" s="13" t="s">
        <v>40</v>
      </c>
      <c r="I34" s="22" t="s">
        <v>68</v>
      </c>
      <c r="J34" s="23" t="s">
        <v>69</v>
      </c>
      <c r="K34" s="23" t="s">
        <v>70</v>
      </c>
      <c r="L34" s="24" t="s">
        <v>71</v>
      </c>
      <c r="M34" s="24" t="s">
        <v>72</v>
      </c>
      <c r="N34" s="22" t="s">
        <v>68</v>
      </c>
      <c r="O34" s="23" t="s">
        <v>69</v>
      </c>
      <c r="P34" s="23" t="s">
        <v>70</v>
      </c>
      <c r="Q34" s="24" t="s">
        <v>71</v>
      </c>
      <c r="R34" s="24" t="s">
        <v>72</v>
      </c>
      <c r="S34" s="22" t="s">
        <v>68</v>
      </c>
      <c r="T34" s="23" t="s">
        <v>69</v>
      </c>
      <c r="U34" s="23" t="s">
        <v>70</v>
      </c>
      <c r="V34" s="24" t="s">
        <v>71</v>
      </c>
      <c r="W34" s="24" t="s">
        <v>72</v>
      </c>
      <c r="X34" s="22" t="s">
        <v>68</v>
      </c>
      <c r="Y34" s="23" t="s">
        <v>69</v>
      </c>
      <c r="Z34" s="23" t="s">
        <v>70</v>
      </c>
      <c r="AA34" s="24" t="s">
        <v>71</v>
      </c>
      <c r="AB34" s="24" t="s">
        <v>72</v>
      </c>
      <c r="AC34" s="22" t="s">
        <v>68</v>
      </c>
      <c r="AD34" s="23" t="s">
        <v>69</v>
      </c>
      <c r="AE34" s="23" t="s">
        <v>70</v>
      </c>
      <c r="AF34" s="24" t="s">
        <v>71</v>
      </c>
      <c r="AG34" s="24" t="s">
        <v>72</v>
      </c>
      <c r="AH34" s="22" t="s">
        <v>68</v>
      </c>
      <c r="AI34" s="23" t="s">
        <v>69</v>
      </c>
      <c r="AJ34" s="23" t="s">
        <v>70</v>
      </c>
      <c r="AK34" s="24" t="s">
        <v>71</v>
      </c>
      <c r="AL34" s="24" t="s">
        <v>72</v>
      </c>
      <c r="AM34" s="22" t="s">
        <v>68</v>
      </c>
      <c r="AN34" s="23" t="s">
        <v>69</v>
      </c>
      <c r="AO34" s="23" t="s">
        <v>70</v>
      </c>
      <c r="AP34" s="24" t="s">
        <v>71</v>
      </c>
      <c r="AQ34" s="24" t="s">
        <v>72</v>
      </c>
      <c r="AR34" s="22" t="s">
        <v>68</v>
      </c>
      <c r="AS34" s="23" t="s">
        <v>69</v>
      </c>
      <c r="AT34" s="23" t="s">
        <v>70</v>
      </c>
      <c r="AU34" s="24" t="s">
        <v>71</v>
      </c>
      <c r="AV34" s="24" t="s">
        <v>72</v>
      </c>
    </row>
    <row r="35" spans="1:48" x14ac:dyDescent="0.25">
      <c r="H35">
        <v>0</v>
      </c>
      <c r="I35">
        <f>IF($H35&lt;=$C$12,$H35*MIN($C$36,$C$44)+$I$32,"")</f>
        <v>1.2704502078533867E-4</v>
      </c>
      <c r="J35">
        <f>IF($H35&lt;=$C$12,0,"")</f>
        <v>0</v>
      </c>
      <c r="K35">
        <f>IF($H35&lt;=$C$12,0,"")</f>
        <v>0</v>
      </c>
      <c r="L35">
        <f>IF($H35&lt;=$C$12,0,"")</f>
        <v>0</v>
      </c>
      <c r="M35">
        <f>IF($H35&lt;=$C$12,0,"")</f>
        <v>0</v>
      </c>
      <c r="N35">
        <f>IF($H35&lt;=$C$12,$H35*MIN($C$36,$C$45)+$I$32,"")</f>
        <v>1.2704502078533867E-4</v>
      </c>
      <c r="O35">
        <f>IF($H35&lt;=$C$12,0,"")</f>
        <v>0</v>
      </c>
      <c r="P35">
        <f>IF($H35&lt;=$C$12,0,"")</f>
        <v>0</v>
      </c>
      <c r="Q35">
        <f>IF($H35&lt;=$C$12,0,"")</f>
        <v>0</v>
      </c>
      <c r="R35">
        <f>IF($H35&lt;=$C$12,0,"")</f>
        <v>0</v>
      </c>
      <c r="S35">
        <f>IF($H35&lt;=$C$12,$H35*MIN($C$36,$C$46)+$I$32,"")</f>
        <v>1.2704502078533867E-4</v>
      </c>
      <c r="T35">
        <f>IF($H35&lt;=$C$12,0,"")</f>
        <v>0</v>
      </c>
      <c r="U35">
        <f>IF($H35&lt;=$C$12,0,"")</f>
        <v>0</v>
      </c>
      <c r="V35">
        <f>IF($H35&lt;=$C$12,0,"")</f>
        <v>0</v>
      </c>
      <c r="W35">
        <f>IF($H35&lt;=$C$12,0,"")</f>
        <v>0</v>
      </c>
      <c r="X35">
        <f>IF($H35&lt;=$C$12,$H35*MIN($C$36,$C$47)+$I$32,"")</f>
        <v>1.2704502078533867E-4</v>
      </c>
      <c r="Y35">
        <f>IF($H35&lt;=$C$12,0,"")</f>
        <v>0</v>
      </c>
      <c r="Z35">
        <f>IF($H35&lt;=$C$12,0,"")</f>
        <v>0</v>
      </c>
      <c r="AA35">
        <f>IF($H35&lt;=$C$12,0,"")</f>
        <v>0</v>
      </c>
      <c r="AB35">
        <f>IF($H35&lt;=$C$12,0,"")</f>
        <v>0</v>
      </c>
      <c r="AC35">
        <f>IF($H35&lt;=$C$12,$H35*MIN($C$36,$C$44)+$I$32,"")</f>
        <v>1.2704502078533867E-4</v>
      </c>
      <c r="AD35">
        <f>IF($H35&lt;=$C$12,0,"")</f>
        <v>0</v>
      </c>
      <c r="AE35">
        <f>IF($H35&lt;=$C$12,0,"")</f>
        <v>0</v>
      </c>
      <c r="AF35">
        <f>IF($H35&lt;=$C$12,0,"")</f>
        <v>0</v>
      </c>
      <c r="AG35">
        <f>IF($H35&lt;=$C$12,0,"")</f>
        <v>0</v>
      </c>
      <c r="AH35">
        <f>IF($H35&lt;=$C$12,$H35*MIN($C$36,$C$45)+$I$32,"")</f>
        <v>1.2704502078533867E-4</v>
      </c>
      <c r="AI35">
        <f>IF($H35&lt;=$C$12,0,"")</f>
        <v>0</v>
      </c>
      <c r="AJ35">
        <f>IF($H35&lt;=$C$12,0,"")</f>
        <v>0</v>
      </c>
      <c r="AK35">
        <f>IF($H35&lt;=$C$12,0,"")</f>
        <v>0</v>
      </c>
      <c r="AL35">
        <f>IF($H35&lt;=$C$12,0,"")</f>
        <v>0</v>
      </c>
      <c r="AM35">
        <f>IF($H35&lt;=$C$12,$H35*MIN($C$36,$C$46)+$I$32,"")</f>
        <v>1.2704502078533867E-4</v>
      </c>
      <c r="AN35">
        <f>IF($H35&lt;=$C$12,0,"")</f>
        <v>0</v>
      </c>
      <c r="AO35">
        <f>IF($H35&lt;=$C$12,0,"")</f>
        <v>0</v>
      </c>
      <c r="AP35">
        <f>IF($H35&lt;=$C$12,0,"")</f>
        <v>0</v>
      </c>
      <c r="AQ35">
        <f>IF($H35&lt;=$C$12,0,"")</f>
        <v>0</v>
      </c>
      <c r="AR35">
        <f>IF($H35&lt;=$C$12,$H35*MIN($C$36,$C$47)+$I$32,"")</f>
        <v>1.2704502078533867E-4</v>
      </c>
      <c r="AS35">
        <f>IF($H35&lt;=$C$12,0,"")</f>
        <v>0</v>
      </c>
      <c r="AT35">
        <f>IF($H35&lt;=$C$12,0,"")</f>
        <v>0</v>
      </c>
      <c r="AU35">
        <f>IF($H35&lt;=$C$12,0,"")</f>
        <v>0</v>
      </c>
      <c r="AV35">
        <f>IF($H35&lt;=$C$12,0,"")</f>
        <v>0</v>
      </c>
    </row>
    <row r="36" spans="1:48" x14ac:dyDescent="0.25">
      <c r="A36" t="s">
        <v>56</v>
      </c>
      <c r="B36" s="3" t="s">
        <v>57</v>
      </c>
      <c r="C36" s="2">
        <f>ASIN(C$33/(C$29+C$30))</f>
        <v>6.6666671604939263E-4</v>
      </c>
      <c r="D36" s="2" t="s">
        <v>13</v>
      </c>
      <c r="E36" s="2">
        <f>DEGREES(C36)</f>
        <v>3.8197189171476659E-2</v>
      </c>
      <c r="F36" s="2" t="s">
        <v>12</v>
      </c>
      <c r="G36" s="2"/>
      <c r="H36">
        <v>1</v>
      </c>
      <c r="I36">
        <f>IF($H36&lt;=$C$12,$H36*MIN($C$36,$C$44)+$I$32,"")</f>
        <v>6.6037837940262595E-4</v>
      </c>
      <c r="J36">
        <f>IF($H36&lt;=$C$12,$C$4*COS($C$10)*COS(MIN($C$36,$C$44)+$I$32)+K35*SIN(MIN($C$36,$C$44)+$I$32),"")</f>
        <v>2.217596275673833</v>
      </c>
      <c r="K36">
        <f>IF($H36&lt;=$C$12,-$C$4*COS($C$10)*SIN(MIN($C$36,$C$44)+$I$32)+K35*COS(MIN($C$36,$C$44)+$I$32),"")</f>
        <v>-1.4644528475812265E-3</v>
      </c>
      <c r="L36">
        <f>IF($H36&lt;=$C$12,L35+J36,"")</f>
        <v>2.217596275673833</v>
      </c>
      <c r="M36">
        <f>IF($H36&lt;=$C$12,M35+K36,"")</f>
        <v>-1.4644528475812265E-3</v>
      </c>
      <c r="N36">
        <f t="shared" ref="N36:N45" si="26">IF($H36&lt;=$C$12,$H36*MIN($C$36,$C$45)+$I$32,"")</f>
        <v>3.5561645134704915E-4</v>
      </c>
      <c r="O36">
        <f>IF($H36&lt;=$C$12,$C$4*COS($C$10)*COS(MIN($C$36,$C$44)+$I$32)+P35*SIN(MIN($C$36,$C$44)+$I$32),"")</f>
        <v>2.217596275673833</v>
      </c>
      <c r="P36">
        <f>IF($H36&lt;=$C$12,-$C$4*COS($C$10)*SIN(MIN($C$36,$C$44)+$I$32)+P35*COS(MIN($C$36,$C$44)+$I$32),"")</f>
        <v>-1.4644528475812265E-3</v>
      </c>
      <c r="Q36">
        <f>IF($H36&lt;=$C$12,Q35+O36,"")</f>
        <v>2.217596275673833</v>
      </c>
      <c r="R36">
        <f>IF($H36&lt;=$C$12,R35+P36,"")</f>
        <v>-1.4644528475812265E-3</v>
      </c>
      <c r="S36">
        <f t="shared" ref="S36:S45" si="27">IF($H36&lt;=$C$12,$H36*MIN($C$36,$C$46)+$I$32,"")</f>
        <v>7.9371173683473136E-4</v>
      </c>
      <c r="T36">
        <f>IF($H36&lt;=$C$12,$C$4*COS($C$10)*COS(MIN($C$36,$C$46)+$I$32)+U35*SIN(MIN($C$36,$C$46)+$I$32),"")</f>
        <v>2.2175960607014447</v>
      </c>
      <c r="U36">
        <f>IF($H36&lt;=$C$12,-$C$4*COS($C$10)*SIN(MIN($C$36,$C$46)+$I$32)+U35*COS(MIN($C$36,$C$46)+$I$32),"")</f>
        <v>-1.7601323905523003E-3</v>
      </c>
      <c r="V36">
        <f>IF($H36&lt;=$C$12,V35+T36,"")</f>
        <v>2.2175960607014447</v>
      </c>
      <c r="W36">
        <f>IF($H36&lt;=$C$12,W35+U36,"")</f>
        <v>-1.7601323905523003E-3</v>
      </c>
      <c r="X36">
        <f t="shared" ref="X36:X45" si="28">IF($H36&lt;=$C$12,$H36*MIN($C$36,$C$47)+$I$32,"")</f>
        <v>5.84187893850452E-4</v>
      </c>
      <c r="Y36">
        <f>IF($H36&lt;=$C$12,$C$4*COS($C$10)*COS(MIN($C$36,$C$47)+$I$32)+Z35*SIN(MIN($C$36,$C$47)+$I$32),"")</f>
        <v>2.2175963808146442</v>
      </c>
      <c r="Z36">
        <f>IF($H36&lt;=$C$12,-$C$4*COS($C$10)*SIN(MIN($C$36,$C$47)+$I$32)+Z35*COS(MIN($C$36,$C$47)+$I$32),"")</f>
        <v>-1.2954931064918457E-3</v>
      </c>
      <c r="AA36">
        <f>IF($H36&lt;=$C$12,AA35+Y36,"")</f>
        <v>2.2175963808146442</v>
      </c>
      <c r="AB36">
        <f>IF($H36&lt;=$C$12,AB35+Z36,"")</f>
        <v>-1.2954931064918457E-3</v>
      </c>
      <c r="AC36">
        <f t="shared" ref="AC36:AC45" si="29">IF($H36&lt;=$C$12,$H36*MIN($C$36,$C$44)+$I$32,"")</f>
        <v>6.6037837940262595E-4</v>
      </c>
      <c r="AD36">
        <f>IF($H36&lt;=$C$12,$E$4*COS($C$10)*COS(MIN($C$36,$C$44)+$I$32)+AE35*SIN(MIN($C$36,$C$44)+$I$32),"")</f>
        <v>56.326945402115349</v>
      </c>
      <c r="AE36">
        <f>IF($H36&lt;=$C$12,-$E$4*COS($C$10)*SIN(MIN($C$36,$C$44)+$I$32)+AE35*COS(MIN($C$36,$C$44)+$I$32),"")</f>
        <v>-3.7197102328563152E-2</v>
      </c>
      <c r="AF36">
        <f>IF($H36&lt;=$C$12,AF35+AD36,"")</f>
        <v>56.326945402115349</v>
      </c>
      <c r="AG36">
        <f>IF($H36&lt;=$C$12,AG35+AE36,"")</f>
        <v>-3.7197102328563152E-2</v>
      </c>
      <c r="AH36">
        <f t="shared" ref="AH36:AH45" si="30">IF($H36&lt;=$C$12,$H36*MIN($C$36,$C$45)+$I$32,"")</f>
        <v>3.5561645134704915E-4</v>
      </c>
      <c r="AI36">
        <f>IF($H36&lt;=$C$12,$E$4*COS($C$10)*COS(MIN($C$36,$C$45)+$I$32)+AJ35*SIN(MIN($C$36,$C$45)+$I$32),"")</f>
        <v>56.32695412255719</v>
      </c>
      <c r="AJ36">
        <f>IF($H36&lt;=$C$12,-$E$4*COS($C$10)*SIN(MIN($C$36,$C$45)+$I$32)+AJ35*COS(MIN($C$36,$C$45)+$I$32),"")</f>
        <v>-2.0030792384636936E-2</v>
      </c>
      <c r="AK36">
        <f>IF($H36&lt;=$C$12,AK35+AI36,"")</f>
        <v>56.32695412255719</v>
      </c>
      <c r="AL36">
        <f>IF($H36&lt;=$C$12,AL35+AJ36,"")</f>
        <v>-2.0030792384636936E-2</v>
      </c>
      <c r="AM36">
        <f t="shared" ref="AM36:AM45" si="31">IF($H36&lt;=$C$12,$H36*MIN($C$36,$C$46)+$I$32,"")</f>
        <v>7.9371173683473136E-4</v>
      </c>
      <c r="AN36">
        <f>IF($H36&lt;=$C$12,$E$4*COS($C$10)*COS(MIN($C$36,$C$46)+$I$32)+AO35*SIN(MIN($C$36,$C$46)+$I$32),"")</f>
        <v>56.32693994181669</v>
      </c>
      <c r="AO36">
        <f>IF($H36&lt;=$C$12,-$E$4*COS($C$10)*SIN(MIN($C$36,$C$46)+$I$32)+AO35*COS(MIN($C$36,$C$46)+$I$32),"")</f>
        <v>-4.4707362720028426E-2</v>
      </c>
      <c r="AP36">
        <f>IF($H36&lt;=$C$12,AP35+AN36,"")</f>
        <v>56.32693994181669</v>
      </c>
      <c r="AQ36">
        <f>IF($H36&lt;=$C$12,AQ35+AO36,"")</f>
        <v>-4.4707362720028426E-2</v>
      </c>
      <c r="AR36">
        <f t="shared" ref="AR36:AR45" si="32">IF($H36&lt;=$C$12,$H36*MIN($C$36,$C$47)+$I$32,"")</f>
        <v>5.84187893850452E-4</v>
      </c>
      <c r="AS36">
        <f>IF($H36&lt;=$C$12,$E$4*COS($C$10)*COS(MIN($C$36,$C$47)+$I$32)+AT35*SIN(MIN($C$36,$C$47)+$I$32),"")</f>
        <v>56.326948072691955</v>
      </c>
      <c r="AT36">
        <f>IF($H36&lt;=$C$12,-$E$4*COS($C$10)*SIN(MIN($C$36,$C$47)+$I$32)+AT35*COS(MIN($C$36,$C$47)+$I$32),"")</f>
        <v>-3.2905524904892881E-2</v>
      </c>
      <c r="AU36">
        <f>IF($H36&lt;=$C$12,AU35+AS36,"")</f>
        <v>56.326948072691955</v>
      </c>
      <c r="AV36">
        <f>IF($H36&lt;=$C$12,AV35+AT36,"")</f>
        <v>-3.2905524904892881E-2</v>
      </c>
    </row>
    <row r="37" spans="1:48" x14ac:dyDescent="0.25">
      <c r="A37" s="14" t="s">
        <v>55</v>
      </c>
      <c r="B37" s="9" t="s">
        <v>58</v>
      </c>
      <c r="C37" s="6">
        <f>ASIN(C$33/(C$29+C$30+C$31))</f>
        <v>4.4444445907636162E-4</v>
      </c>
      <c r="D37" s="6" t="s">
        <v>13</v>
      </c>
      <c r="E37" s="6">
        <f>DEGREES(C37)</f>
        <v>2.5464791733050354E-2</v>
      </c>
      <c r="F37" s="6" t="s">
        <v>12</v>
      </c>
      <c r="G37" s="6" t="s">
        <v>112</v>
      </c>
      <c r="H37">
        <v>2</v>
      </c>
      <c r="I37">
        <f t="shared" ref="I37:I45" si="33">IF($H37&lt;=$C$12,$H37*MIN($C$36,$C$44)+$I$32,"")</f>
        <v>1.1937117380199131E-3</v>
      </c>
      <c r="J37">
        <f t="shared" ref="J37:J41" si="34">IF($H37&lt;=$C$12,$C$4*COS($C$10)*COS(MIN($C$36,$C$44))+K36*SIN(MIN($C$36,$C$44)),"")</f>
        <v>2.2175956627872697</v>
      </c>
      <c r="K37">
        <f t="shared" ref="K37:K45" si="35">IF($H37&lt;=$C$12,-$C$4*COS($C$10)*SIN(MIN($C$36,$C$44))+K36*COS(MIN($C$36,$C$44)),"")</f>
        <v>-2.6471709108876599E-3</v>
      </c>
      <c r="L37">
        <f t="shared" ref="L37:L41" si="36">IF($H6&lt;=$C$12,L36+J37,"")</f>
        <v>4.4351919384611023</v>
      </c>
      <c r="M37">
        <f t="shared" ref="M37:M41" si="37">IF($H6&lt;=$C$12,M36+K37,"")</f>
        <v>-4.1116237584688867E-3</v>
      </c>
      <c r="N37">
        <f t="shared" si="26"/>
        <v>5.8418788190875968E-4</v>
      </c>
      <c r="O37">
        <f t="shared" ref="O37:O41" si="38">IF($H37&lt;=$C$12,$C$4*COS($C$10)*COS(MIN($C$36,$C$45))+P36*SIN(MIN($C$36,$C$45)),"")</f>
        <v>2.2175963665592113</v>
      </c>
      <c r="P37">
        <f t="shared" ref="P37:P45" si="39">IF($H37&lt;=$C$12,-$C$4*COS($C$10)*SIN(MIN($C$36,$C$45))+P36*COS(MIN($C$36,$C$45)),"")</f>
        <v>-1.971332068576497E-3</v>
      </c>
      <c r="Q37">
        <f t="shared" ref="Q37:R41" si="40">IF($H6&lt;=$C$12,Q36+O37,"")</f>
        <v>4.4351926422330443</v>
      </c>
      <c r="R37">
        <f t="shared" si="40"/>
        <v>-3.4357849161577234E-3</v>
      </c>
      <c r="S37">
        <f t="shared" si="27"/>
        <v>1.4603784528841239E-3</v>
      </c>
      <c r="T37">
        <f t="shared" ref="T37:T41" si="41">IF($H37&lt;=$C$12,$C$4*COS($C$10)*COS(MIN($C$36,$C$46))+U36*SIN(MIN($C$36,$C$46)),"")</f>
        <v>2.2175950929994213</v>
      </c>
      <c r="U37">
        <f t="shared" ref="U37:U45" si="42">IF($H37&lt;=$C$12,-$C$4*COS($C$10)*SIN(MIN($C$36,$C$46))+U36*COS(MIN($C$36,$C$46)),"")</f>
        <v>-3.2385298388919589E-3</v>
      </c>
      <c r="V37">
        <f t="shared" ref="V37:W41" si="43">IF($H6&lt;=$C$12,V36+T37,"")</f>
        <v>4.4351911537008659</v>
      </c>
      <c r="W37">
        <f t="shared" si="43"/>
        <v>-4.9986622294442597E-3</v>
      </c>
      <c r="X37">
        <f t="shared" si="28"/>
        <v>1.0413307669155654E-3</v>
      </c>
      <c r="Y37">
        <f t="shared" ref="Y37:Y41" si="44">IF($H37&lt;=$C$12,$C$4*COS($C$10)*COS(MIN($C$36,$C$47))+Z36*SIN(MIN($C$36,$C$47)),"")</f>
        <v>2.2175959352786845</v>
      </c>
      <c r="Z37">
        <f t="shared" ref="Z37:Z45" si="45">IF($H37&lt;=$C$12,-$C$4*COS($C$10)*SIN(MIN($C$36,$C$47))+Z36*COS(MIN($C$36,$C$47)),"")</f>
        <v>-2.3092514896267597E-3</v>
      </c>
      <c r="AA37">
        <f t="shared" ref="AA37:AB41" si="46">IF($H6&lt;=$C$12,AA36+Y37,"")</f>
        <v>4.4351923160933282</v>
      </c>
      <c r="AB37">
        <f t="shared" si="46"/>
        <v>-3.6047445961186054E-3</v>
      </c>
      <c r="AC37">
        <f t="shared" si="29"/>
        <v>1.1937117380199131E-3</v>
      </c>
      <c r="AD37">
        <f t="shared" ref="AD37:AD41" si="47">IF($H37&lt;=$C$12,$E$4*COS($C$10)*COS(MIN($C$36,$C$44))+AE36*SIN(MIN($C$36,$C$44)),"")</f>
        <v>56.326929834796637</v>
      </c>
      <c r="AE37">
        <f t="shared" ref="AE37:AE45" si="48">IF($H37&lt;=$C$12,-$E$4*COS($C$10)*SIN(MIN($C$36,$C$44))+AE36*COS(MIN($C$36,$C$44)),"")</f>
        <v>-6.7238141136546553E-2</v>
      </c>
      <c r="AF37">
        <f t="shared" ref="AF37:AG41" si="49">IF($H6&lt;=$C$12,AF36+AD37,"")</f>
        <v>112.65387523691199</v>
      </c>
      <c r="AG37">
        <f t="shared" si="49"/>
        <v>-0.10443524346510971</v>
      </c>
      <c r="AH37">
        <f t="shared" si="30"/>
        <v>5.8418788190875968E-4</v>
      </c>
      <c r="AI37">
        <f t="shared" ref="AI37:AI41" si="50">IF($H37&lt;=$C$12,$E$4*COS($C$10)*COS(MIN($C$36,$C$45))+AJ36*SIN(MIN($C$36,$C$45)),"")</f>
        <v>56.326951634331948</v>
      </c>
      <c r="AJ37">
        <f t="shared" ref="AJ37:AJ45" si="51">IF($H37&lt;=$C$12,-$E$4*COS($C$10)*SIN(MIN($C$36,$C$45))+AJ36*COS(MIN($C$36,$C$45)),"")</f>
        <v>-3.2905525046342865E-2</v>
      </c>
      <c r="AK37">
        <f t="shared" ref="AK37:AL41" si="52">IF($H6&lt;=$C$12,AK36+AI37,"")</f>
        <v>112.65390575688915</v>
      </c>
      <c r="AL37">
        <f t="shared" si="52"/>
        <v>-5.2936317430979804E-2</v>
      </c>
      <c r="AM37">
        <f t="shared" si="31"/>
        <v>1.4603784528841239E-3</v>
      </c>
      <c r="AN37">
        <f t="shared" ref="AN37:AN41" si="53">IF($H37&lt;=$C$12,$E$4*COS($C$10)*COS(MIN($C$36,$C$46))+AO36*SIN(MIN($C$36,$C$46)),"")</f>
        <v>56.326915362185296</v>
      </c>
      <c r="AO37">
        <f t="shared" ref="AO37:AO45" si="54">IF($H37&lt;=$C$12,-$E$4*COS($C$10)*SIN(MIN($C$36,$C$46))+AO36*COS(MIN($C$36,$C$46)),"")</f>
        <v>-8.2258657907855748E-2</v>
      </c>
      <c r="AP37">
        <f t="shared" ref="AP37:AQ41" si="55">IF($H6&lt;=$C$12,AP36+AN37,"")</f>
        <v>112.65385530400198</v>
      </c>
      <c r="AQ37">
        <f t="shared" si="55"/>
        <v>-0.12696602062788417</v>
      </c>
      <c r="AR37">
        <f t="shared" si="32"/>
        <v>1.0413307669155654E-3</v>
      </c>
      <c r="AS37">
        <f t="shared" ref="AS37:AS41" si="56">IF($H37&lt;=$C$12,$E$4*COS($C$10)*COS(MIN($C$36,$C$47))+AT36*SIN(MIN($C$36,$C$47)),"")</f>
        <v>56.326936756078588</v>
      </c>
      <c r="AT37">
        <f t="shared" ref="AT37:AT45" si="57">IF($H37&lt;=$C$12,-$E$4*COS($C$10)*SIN(MIN($C$36,$C$47))+AT36*COS(MIN($C$36,$C$47)),"")</f>
        <v>-5.8654987836519693E-2</v>
      </c>
      <c r="AU37">
        <f t="shared" ref="AU37:AV41" si="58">IF($H6&lt;=$C$12,AU36+AS37,"")</f>
        <v>112.65388482877054</v>
      </c>
      <c r="AV37">
        <f t="shared" si="58"/>
        <v>-9.1560512741412581E-2</v>
      </c>
    </row>
    <row r="38" spans="1:48" x14ac:dyDescent="0.25">
      <c r="H38">
        <v>3</v>
      </c>
      <c r="I38">
        <f t="shared" si="33"/>
        <v>1.7270450966372002E-3</v>
      </c>
      <c r="J38">
        <f t="shared" si="34"/>
        <v>2.2175950320043025</v>
      </c>
      <c r="K38">
        <f t="shared" si="35"/>
        <v>-3.8298888059852898E-3</v>
      </c>
      <c r="L38">
        <f t="shared" si="36"/>
        <v>6.6527869704654048</v>
      </c>
      <c r="M38">
        <f t="shared" si="37"/>
        <v>-7.9415125644541756E-3</v>
      </c>
      <c r="N38">
        <f t="shared" si="26"/>
        <v>8.1275931247046999E-4</v>
      </c>
      <c r="O38">
        <f t="shared" si="38"/>
        <v>2.2175962507011038</v>
      </c>
      <c r="P38">
        <f t="shared" si="39"/>
        <v>-2.4782112763308407E-3</v>
      </c>
      <c r="Q38">
        <f t="shared" si="40"/>
        <v>6.6527888929341481</v>
      </c>
      <c r="R38">
        <f t="shared" si="40"/>
        <v>-5.9139961924885645E-3</v>
      </c>
      <c r="S38">
        <f t="shared" si="27"/>
        <v>2.1270451689335166E-3</v>
      </c>
      <c r="T38">
        <f t="shared" si="41"/>
        <v>2.2175941074011223</v>
      </c>
      <c r="U38">
        <f t="shared" si="42"/>
        <v>-4.7169269586988145E-3</v>
      </c>
      <c r="V38">
        <f t="shared" si="43"/>
        <v>6.6527852611019878</v>
      </c>
      <c r="W38">
        <f t="shared" si="43"/>
        <v>-9.7155891881430742E-3</v>
      </c>
      <c r="X38">
        <f t="shared" si="28"/>
        <v>1.4984736399806786E-3</v>
      </c>
      <c r="Y38">
        <f t="shared" si="44"/>
        <v>2.2175954718462809</v>
      </c>
      <c r="Z38">
        <f t="shared" si="45"/>
        <v>-3.3230097668342619E-3</v>
      </c>
      <c r="AA38">
        <f t="shared" si="46"/>
        <v>6.6527877879396087</v>
      </c>
      <c r="AB38">
        <f t="shared" si="46"/>
        <v>-6.9277543629528669E-3</v>
      </c>
      <c r="AC38">
        <f t="shared" si="29"/>
        <v>1.7270450966372002E-3</v>
      </c>
      <c r="AD38">
        <f t="shared" si="47"/>
        <v>56.326913812909275</v>
      </c>
      <c r="AE38">
        <f t="shared" si="48"/>
        <v>-9.7279175672026361E-2</v>
      </c>
      <c r="AF38">
        <f t="shared" si="49"/>
        <v>168.98078904982125</v>
      </c>
      <c r="AG38">
        <f t="shared" si="49"/>
        <v>-0.20171441913713606</v>
      </c>
      <c r="AH38">
        <f t="shared" si="30"/>
        <v>8.1275931247046999E-4</v>
      </c>
      <c r="AI38">
        <f t="shared" si="50"/>
        <v>56.326948691535911</v>
      </c>
      <c r="AJ38">
        <f t="shared" si="51"/>
        <v>-4.5780257371729235E-2</v>
      </c>
      <c r="AK38">
        <f t="shared" si="52"/>
        <v>168.98085444842505</v>
      </c>
      <c r="AL38">
        <f t="shared" si="52"/>
        <v>-9.871657480270904E-2</v>
      </c>
      <c r="AM38">
        <f t="shared" si="31"/>
        <v>2.1270451689335166E-3</v>
      </c>
      <c r="AN38">
        <f t="shared" si="53"/>
        <v>56.326890327988501</v>
      </c>
      <c r="AO38">
        <f t="shared" si="54"/>
        <v>-0.11980994475094989</v>
      </c>
      <c r="AP38">
        <f t="shared" si="55"/>
        <v>168.98074563199049</v>
      </c>
      <c r="AQ38">
        <f t="shared" si="55"/>
        <v>-0.24677596537883406</v>
      </c>
      <c r="AR38">
        <f t="shared" si="32"/>
        <v>1.4984736399806786E-3</v>
      </c>
      <c r="AS38">
        <f t="shared" si="56"/>
        <v>56.326924984895534</v>
      </c>
      <c r="AT38">
        <f t="shared" si="57"/>
        <v>-8.4404448077590233E-2</v>
      </c>
      <c r="AU38">
        <f t="shared" si="58"/>
        <v>168.98080981366607</v>
      </c>
      <c r="AV38">
        <f t="shared" si="58"/>
        <v>-0.17596496081900281</v>
      </c>
    </row>
    <row r="39" spans="1:48" x14ac:dyDescent="0.25">
      <c r="A39" t="s">
        <v>59</v>
      </c>
      <c r="B39" s="3" t="s">
        <v>60</v>
      </c>
      <c r="C39">
        <v>1E-4</v>
      </c>
      <c r="D39" t="s">
        <v>1</v>
      </c>
      <c r="E39" s="1">
        <f>IFERROR(C39*25.4,0)</f>
        <v>2.5400000000000002E-3</v>
      </c>
      <c r="F39" s="1" t="s">
        <v>2</v>
      </c>
      <c r="H39">
        <v>4</v>
      </c>
      <c r="I39">
        <f t="shared" si="33"/>
        <v>2.2603784552544877E-3</v>
      </c>
      <c r="J39">
        <f t="shared" si="34"/>
        <v>2.217594401221425</v>
      </c>
      <c r="K39">
        <f t="shared" si="35"/>
        <v>-5.0126065328741408E-3</v>
      </c>
      <c r="L39">
        <f t="shared" si="36"/>
        <v>8.8703813716868289</v>
      </c>
      <c r="M39">
        <f t="shared" si="37"/>
        <v>-1.2954119097328316E-2</v>
      </c>
      <c r="N39">
        <f t="shared" si="26"/>
        <v>1.0413307430321805E-3</v>
      </c>
      <c r="O39">
        <f t="shared" si="38"/>
        <v>2.2175961348429989</v>
      </c>
      <c r="P39">
        <f t="shared" si="39"/>
        <v>-2.9850904708442578E-3</v>
      </c>
      <c r="Q39">
        <f t="shared" si="40"/>
        <v>8.8703850277771465</v>
      </c>
      <c r="R39">
        <f t="shared" si="40"/>
        <v>-8.8990866633328232E-3</v>
      </c>
      <c r="S39">
        <f t="shared" si="27"/>
        <v>2.7937118849829094E-3</v>
      </c>
      <c r="T39">
        <f t="shared" si="41"/>
        <v>2.2175931218030422</v>
      </c>
      <c r="U39">
        <f t="shared" si="42"/>
        <v>-6.1953237499729405E-3</v>
      </c>
      <c r="V39">
        <f t="shared" si="43"/>
        <v>8.8703783829050309</v>
      </c>
      <c r="W39">
        <f t="shared" si="43"/>
        <v>-1.5910912938116015E-2</v>
      </c>
      <c r="X39">
        <f t="shared" si="28"/>
        <v>1.9556165130457919E-3</v>
      </c>
      <c r="Y39">
        <f t="shared" si="44"/>
        <v>2.2175950084139258</v>
      </c>
      <c r="Z39">
        <f t="shared" si="45"/>
        <v>-4.3367679381143632E-3</v>
      </c>
      <c r="AA39">
        <f t="shared" si="46"/>
        <v>8.8703827963535353</v>
      </c>
      <c r="AB39">
        <f t="shared" si="46"/>
        <v>-1.1264522301067229E-2</v>
      </c>
      <c r="AC39">
        <f t="shared" si="29"/>
        <v>2.2603784552544877E-3</v>
      </c>
      <c r="AD39">
        <f t="shared" si="47"/>
        <v>56.326897791024187</v>
      </c>
      <c r="AE39">
        <f t="shared" si="48"/>
        <v>-0.12732020593500318</v>
      </c>
      <c r="AF39">
        <f t="shared" si="49"/>
        <v>225.30768684084543</v>
      </c>
      <c r="AG39">
        <f t="shared" si="49"/>
        <v>-0.32903462507213921</v>
      </c>
      <c r="AH39">
        <f t="shared" si="30"/>
        <v>1.0413307430321805E-3</v>
      </c>
      <c r="AI39">
        <f t="shared" si="50"/>
        <v>56.326945748739952</v>
      </c>
      <c r="AJ39">
        <f t="shared" si="51"/>
        <v>-5.8654989360796064E-2</v>
      </c>
      <c r="AK39">
        <f t="shared" si="52"/>
        <v>225.30780019716499</v>
      </c>
      <c r="AL39">
        <f t="shared" si="52"/>
        <v>-0.15737156416350512</v>
      </c>
      <c r="AM39">
        <f t="shared" si="31"/>
        <v>2.7937118849829094E-3</v>
      </c>
      <c r="AN39">
        <f t="shared" si="53"/>
        <v>56.326865293797276</v>
      </c>
      <c r="AO39">
        <f t="shared" si="54"/>
        <v>-0.15736122324931268</v>
      </c>
      <c r="AP39">
        <f t="shared" si="55"/>
        <v>225.30761092578777</v>
      </c>
      <c r="AQ39">
        <f t="shared" si="55"/>
        <v>-0.40413718862814674</v>
      </c>
      <c r="AR39">
        <f t="shared" si="32"/>
        <v>1.9556165130457919E-3</v>
      </c>
      <c r="AS39">
        <f t="shared" si="56"/>
        <v>56.326913213713709</v>
      </c>
      <c r="AT39">
        <f t="shared" si="57"/>
        <v>-0.11015390562810479</v>
      </c>
      <c r="AU39">
        <f t="shared" si="58"/>
        <v>225.30772302737978</v>
      </c>
      <c r="AV39">
        <f t="shared" si="58"/>
        <v>-0.2861188664471076</v>
      </c>
    </row>
    <row r="40" spans="1:48" x14ac:dyDescent="0.25">
      <c r="A40" t="s">
        <v>61</v>
      </c>
      <c r="B40" s="3" t="s">
        <v>62</v>
      </c>
      <c r="C40" s="2">
        <f>(C$6-C$4)/2</f>
        <v>0.1875</v>
      </c>
      <c r="D40" s="2" t="s">
        <v>1</v>
      </c>
      <c r="E40" s="5">
        <f t="shared" ref="E40:E42" si="59">IFERROR(C40*25.4,0)</f>
        <v>4.7624999999999993</v>
      </c>
      <c r="F40" s="5" t="s">
        <v>2</v>
      </c>
      <c r="H40">
        <v>5</v>
      </c>
      <c r="I40">
        <f t="shared" si="33"/>
        <v>2.793711813871775E-3</v>
      </c>
      <c r="J40">
        <f t="shared" si="34"/>
        <v>2.2175937704386373</v>
      </c>
      <c r="K40">
        <f t="shared" si="35"/>
        <v>-6.1953240915542367E-3</v>
      </c>
      <c r="L40">
        <f t="shared" si="36"/>
        <v>11.087975142125465</v>
      </c>
      <c r="M40">
        <f t="shared" si="37"/>
        <v>-1.9149443188882551E-2</v>
      </c>
      <c r="N40">
        <f t="shared" si="26"/>
        <v>1.2699021735938911E-3</v>
      </c>
      <c r="O40">
        <f t="shared" si="38"/>
        <v>2.2175960189848976</v>
      </c>
      <c r="P40">
        <f t="shared" si="39"/>
        <v>-3.4919696521167488E-3</v>
      </c>
      <c r="Q40">
        <f t="shared" si="40"/>
        <v>11.087981046762044</v>
      </c>
      <c r="R40">
        <f t="shared" si="40"/>
        <v>-1.2391056315449572E-2</v>
      </c>
      <c r="S40">
        <f t="shared" si="27"/>
        <v>3.4603786010323021E-3</v>
      </c>
      <c r="T40">
        <f t="shared" si="41"/>
        <v>2.2175921362051816</v>
      </c>
      <c r="U40">
        <f t="shared" si="42"/>
        <v>-7.6737202127144096E-3</v>
      </c>
      <c r="V40">
        <f t="shared" si="43"/>
        <v>11.087970519110213</v>
      </c>
      <c r="W40">
        <f t="shared" si="43"/>
        <v>-2.3584633150830425E-2</v>
      </c>
      <c r="X40">
        <f t="shared" si="28"/>
        <v>2.4127593861109054E-3</v>
      </c>
      <c r="Y40">
        <f t="shared" si="44"/>
        <v>2.2175945449816186</v>
      </c>
      <c r="Z40">
        <f t="shared" si="45"/>
        <v>-5.3505260034670734E-3</v>
      </c>
      <c r="AA40">
        <f t="shared" si="46"/>
        <v>11.087977341335154</v>
      </c>
      <c r="AB40">
        <f t="shared" si="46"/>
        <v>-1.6615048304534301E-2</v>
      </c>
      <c r="AC40">
        <f t="shared" si="29"/>
        <v>2.793711813871775E-3</v>
      </c>
      <c r="AD40">
        <f t="shared" si="47"/>
        <v>56.32688176914138</v>
      </c>
      <c r="AE40">
        <f t="shared" si="48"/>
        <v>-0.15736123192547763</v>
      </c>
      <c r="AF40">
        <f t="shared" si="49"/>
        <v>281.63456860998679</v>
      </c>
      <c r="AG40">
        <f t="shared" si="49"/>
        <v>-0.48639585699761684</v>
      </c>
      <c r="AH40">
        <f t="shared" si="30"/>
        <v>1.2699021735938911E-3</v>
      </c>
      <c r="AI40">
        <f t="shared" si="50"/>
        <v>56.326942805944064</v>
      </c>
      <c r="AJ40">
        <f t="shared" si="51"/>
        <v>-7.1529721013543365E-2</v>
      </c>
      <c r="AK40">
        <f t="shared" si="52"/>
        <v>281.63474300310907</v>
      </c>
      <c r="AL40">
        <f t="shared" si="52"/>
        <v>-0.2289012851770485</v>
      </c>
      <c r="AM40">
        <f t="shared" si="31"/>
        <v>3.4603786010323021E-3</v>
      </c>
      <c r="AN40">
        <f t="shared" si="53"/>
        <v>56.326840259611608</v>
      </c>
      <c r="AO40">
        <f t="shared" si="54"/>
        <v>-0.19491249340294597</v>
      </c>
      <c r="AP40">
        <f t="shared" si="55"/>
        <v>281.63445118539937</v>
      </c>
      <c r="AQ40">
        <f t="shared" si="55"/>
        <v>-0.59904968203109266</v>
      </c>
      <c r="AR40">
        <f t="shared" si="32"/>
        <v>2.4127593861109054E-3</v>
      </c>
      <c r="AS40">
        <f t="shared" si="56"/>
        <v>56.326901442533114</v>
      </c>
      <c r="AT40">
        <f t="shared" si="57"/>
        <v>-0.13590336048806365</v>
      </c>
      <c r="AU40">
        <f t="shared" si="58"/>
        <v>281.63462446991286</v>
      </c>
      <c r="AV40">
        <f t="shared" si="58"/>
        <v>-0.42202222693517122</v>
      </c>
    </row>
    <row r="41" spans="1:48" x14ac:dyDescent="0.25">
      <c r="A41" t="s">
        <v>63</v>
      </c>
      <c r="B41" s="3" t="s">
        <v>64</v>
      </c>
      <c r="C41">
        <v>0.25</v>
      </c>
      <c r="D41" t="s">
        <v>1</v>
      </c>
      <c r="E41" s="1">
        <f t="shared" si="59"/>
        <v>6.35</v>
      </c>
      <c r="F41" s="1" t="s">
        <v>2</v>
      </c>
      <c r="H41">
        <v>6</v>
      </c>
      <c r="I41">
        <f t="shared" si="33"/>
        <v>3.3270451724890619E-3</v>
      </c>
      <c r="J41">
        <f t="shared" si="34"/>
        <v>2.2175931396559396</v>
      </c>
      <c r="K41">
        <f t="shared" si="35"/>
        <v>-7.378041482025601E-3</v>
      </c>
      <c r="L41">
        <f t="shared" si="36"/>
        <v>13.305568281781404</v>
      </c>
      <c r="M41">
        <f t="shared" si="37"/>
        <v>-2.6527484670908152E-2</v>
      </c>
      <c r="N41">
        <f t="shared" si="26"/>
        <v>1.4984736041556014E-3</v>
      </c>
      <c r="O41">
        <f t="shared" si="38"/>
        <v>2.2175959031267989</v>
      </c>
      <c r="P41">
        <f t="shared" si="39"/>
        <v>-3.998848820148314E-3</v>
      </c>
      <c r="Q41">
        <f t="shared" si="40"/>
        <v>13.305576949888843</v>
      </c>
      <c r="R41">
        <f t="shared" si="40"/>
        <v>-1.6389905135597887E-2</v>
      </c>
      <c r="S41">
        <f t="shared" si="27"/>
        <v>4.1270453170816944E-3</v>
      </c>
      <c r="T41">
        <f t="shared" si="41"/>
        <v>2.2175911506075399</v>
      </c>
      <c r="U41">
        <f t="shared" si="42"/>
        <v>-9.1521163469232957E-3</v>
      </c>
      <c r="V41">
        <f t="shared" si="43"/>
        <v>13.305561669717752</v>
      </c>
      <c r="W41">
        <f t="shared" si="43"/>
        <v>-3.2736749497753723E-2</v>
      </c>
      <c r="X41">
        <f t="shared" si="28"/>
        <v>2.8699022591760189E-3</v>
      </c>
      <c r="Y41">
        <f t="shared" si="44"/>
        <v>2.2175940815493602</v>
      </c>
      <c r="Z41">
        <f t="shared" si="45"/>
        <v>-6.3642839628924048E-3</v>
      </c>
      <c r="AA41">
        <f t="shared" si="46"/>
        <v>13.305571422884515</v>
      </c>
      <c r="AB41">
        <f t="shared" si="46"/>
        <v>-2.2979332267426704E-2</v>
      </c>
      <c r="AC41">
        <f t="shared" si="29"/>
        <v>3.3270451724890619E-3</v>
      </c>
      <c r="AD41">
        <f t="shared" si="47"/>
        <v>56.326865747260854</v>
      </c>
      <c r="AE41">
        <f t="shared" si="48"/>
        <v>-0.18740225364345026</v>
      </c>
      <c r="AF41">
        <f t="shared" si="49"/>
        <v>337.96143435724764</v>
      </c>
      <c r="AG41">
        <f t="shared" si="49"/>
        <v>-0.67379811064106709</v>
      </c>
      <c r="AH41">
        <f t="shared" si="30"/>
        <v>1.4984736041556014E-3</v>
      </c>
      <c r="AI41">
        <f t="shared" si="50"/>
        <v>56.326939863148262</v>
      </c>
      <c r="AJ41">
        <f t="shared" si="51"/>
        <v>-8.4404452329971139E-2</v>
      </c>
      <c r="AK41">
        <f t="shared" si="52"/>
        <v>337.96168286625732</v>
      </c>
      <c r="AL41">
        <f t="shared" si="52"/>
        <v>-0.31330573750701962</v>
      </c>
      <c r="AM41">
        <f t="shared" si="31"/>
        <v>4.1270453170816944E-3</v>
      </c>
      <c r="AN41">
        <f t="shared" si="53"/>
        <v>56.32681522543151</v>
      </c>
      <c r="AO41">
        <f t="shared" si="54"/>
        <v>-0.23246375521185164</v>
      </c>
      <c r="AP41">
        <f t="shared" si="55"/>
        <v>337.96126641083089</v>
      </c>
      <c r="AQ41">
        <f t="shared" si="55"/>
        <v>-0.83151343724294424</v>
      </c>
      <c r="AR41">
        <f t="shared" si="32"/>
        <v>2.8699022591760189E-3</v>
      </c>
      <c r="AS41">
        <f t="shared" si="56"/>
        <v>56.326889671353747</v>
      </c>
      <c r="AT41">
        <f t="shared" si="57"/>
        <v>-0.16165281265746706</v>
      </c>
      <c r="AU41">
        <f t="shared" si="58"/>
        <v>337.9615141412666</v>
      </c>
      <c r="AV41">
        <f t="shared" si="58"/>
        <v>-0.58367503959263822</v>
      </c>
    </row>
    <row r="42" spans="1:48" x14ac:dyDescent="0.25">
      <c r="A42" t="s">
        <v>65</v>
      </c>
      <c r="B42" s="3" t="s">
        <v>66</v>
      </c>
      <c r="C42" s="2">
        <f>C40+C41</f>
        <v>0.4375</v>
      </c>
      <c r="D42" s="2" t="s">
        <v>1</v>
      </c>
      <c r="E42" s="5">
        <f t="shared" si="59"/>
        <v>11.112499999999999</v>
      </c>
      <c r="F42" s="5" t="s">
        <v>2</v>
      </c>
      <c r="H42">
        <v>7</v>
      </c>
      <c r="I42" t="str">
        <f t="shared" si="33"/>
        <v/>
      </c>
      <c r="J42" t="str">
        <f t="shared" ref="J42:J45" si="60">IF($H42&lt;=$C$12,$C$4*COS($C$10)*COS(MIN($C$36,$C$44))+K41*SIN(MIN($C$36,$C$44)),"")</f>
        <v/>
      </c>
      <c r="K42" t="str">
        <f t="shared" si="35"/>
        <v/>
      </c>
      <c r="L42" t="str">
        <f t="shared" ref="L42:L45" si="61">IF($H11&lt;=$C$12,L41+J42,"")</f>
        <v/>
      </c>
      <c r="M42" t="str">
        <f t="shared" ref="M42:M45" si="62">IF($H11&lt;=$C$12,M41+K42,"")</f>
        <v/>
      </c>
      <c r="N42" t="str">
        <f t="shared" si="26"/>
        <v/>
      </c>
      <c r="O42" t="str">
        <f t="shared" ref="O42:O45" si="63">IF($H42&lt;=$C$12,$C$4*COS($C$10)*COS(MIN($C$36,$C$45))+P41*SIN(MIN($C$36,$C$45)),"")</f>
        <v/>
      </c>
      <c r="P42" t="str">
        <f t="shared" si="39"/>
        <v/>
      </c>
      <c r="Q42" t="str">
        <f t="shared" ref="Q42:Q45" si="64">IF($H11&lt;=$C$12,Q41+O42,"")</f>
        <v/>
      </c>
      <c r="R42" t="str">
        <f t="shared" ref="R42:R45" si="65">IF($H11&lt;=$C$12,R41+P42,"")</f>
        <v/>
      </c>
      <c r="S42" t="str">
        <f t="shared" si="27"/>
        <v/>
      </c>
      <c r="T42" t="str">
        <f t="shared" ref="T42:T45" si="66">IF($H42&lt;=$C$12,$C$4*COS($C$10)*COS(MIN($C$36,$C$46))+U41*SIN(MIN($C$36,$C$46)),"")</f>
        <v/>
      </c>
      <c r="U42" t="str">
        <f t="shared" si="42"/>
        <v/>
      </c>
      <c r="V42" t="str">
        <f t="shared" ref="V42:V45" si="67">IF($H11&lt;=$C$12,V41+T42,"")</f>
        <v/>
      </c>
      <c r="W42" t="str">
        <f t="shared" ref="W42:W45" si="68">IF($H11&lt;=$C$12,W41+U42,"")</f>
        <v/>
      </c>
      <c r="X42" t="str">
        <f t="shared" si="28"/>
        <v/>
      </c>
      <c r="Y42" t="str">
        <f t="shared" ref="Y42:Y45" si="69">IF($H42&lt;=$C$12,$C$4*COS($C$10)*COS(MIN($C$36,$C$47))+Z41*SIN(MIN($C$36,$C$47)),"")</f>
        <v/>
      </c>
      <c r="Z42" t="str">
        <f t="shared" si="45"/>
        <v/>
      </c>
      <c r="AA42" t="str">
        <f t="shared" ref="AA42:AA45" si="70">IF($H11&lt;=$C$12,AA41+Y42,"")</f>
        <v/>
      </c>
      <c r="AB42" t="str">
        <f t="shared" ref="AB42:AB45" si="71">IF($H11&lt;=$C$12,AB41+Z42,"")</f>
        <v/>
      </c>
      <c r="AC42" t="str">
        <f t="shared" si="29"/>
        <v/>
      </c>
      <c r="AD42" t="str">
        <f t="shared" ref="AD42:AD45" si="72">IF($H42&lt;=$C$12,$E$4*COS($C$10)*COS(MIN($C$36,$C$44))+AE41*SIN(MIN($C$36,$C$44)),"")</f>
        <v/>
      </c>
      <c r="AE42" t="str">
        <f t="shared" si="48"/>
        <v/>
      </c>
      <c r="AF42" t="str">
        <f t="shared" ref="AF42:AF45" si="73">IF($H11&lt;=$C$12,AF41+AD42,"")</f>
        <v/>
      </c>
      <c r="AG42" t="str">
        <f t="shared" ref="AG42:AG45" si="74">IF($H11&lt;=$C$12,AG41+AE42,"")</f>
        <v/>
      </c>
      <c r="AH42" t="str">
        <f t="shared" si="30"/>
        <v/>
      </c>
      <c r="AI42" t="str">
        <f t="shared" ref="AI42:AI45" si="75">IF($H42&lt;=$C$12,$E$4*COS($C$10)*COS(MIN($C$36,$C$45))+AJ41*SIN(MIN($C$36,$C$45)),"")</f>
        <v/>
      </c>
      <c r="AJ42" t="str">
        <f t="shared" si="51"/>
        <v/>
      </c>
      <c r="AK42" t="str">
        <f t="shared" ref="AK42:AK45" si="76">IF($H11&lt;=$C$12,AK41+AI42,"")</f>
        <v/>
      </c>
      <c r="AL42" t="str">
        <f t="shared" ref="AL42:AL45" si="77">IF($H11&lt;=$C$12,AL41+AJ42,"")</f>
        <v/>
      </c>
      <c r="AM42" t="str">
        <f t="shared" si="31"/>
        <v/>
      </c>
      <c r="AN42" t="str">
        <f t="shared" ref="AN42:AN45" si="78">IF($H42&lt;=$C$12,$E$4*COS($C$10)*COS(MIN($C$36,$C$46))+AO41*SIN(MIN($C$36,$C$46)),"")</f>
        <v/>
      </c>
      <c r="AO42" t="str">
        <f t="shared" si="54"/>
        <v/>
      </c>
      <c r="AP42" t="str">
        <f t="shared" ref="AP42:AP45" si="79">IF($H11&lt;=$C$12,AP41+AN42,"")</f>
        <v/>
      </c>
      <c r="AQ42" t="str">
        <f t="shared" ref="AQ42:AQ45" si="80">IF($H11&lt;=$C$12,AQ41+AO42,"")</f>
        <v/>
      </c>
      <c r="AR42" t="str">
        <f t="shared" si="32"/>
        <v/>
      </c>
      <c r="AS42" t="str">
        <f t="shared" ref="AS42:AS45" si="81">IF($H42&lt;=$C$12,$E$4*COS($C$10)*COS(MIN($C$36,$C$47))+AT41*SIN(MIN($C$36,$C$47)),"")</f>
        <v/>
      </c>
      <c r="AT42" t="str">
        <f t="shared" si="57"/>
        <v/>
      </c>
      <c r="AU42" t="str">
        <f t="shared" ref="AU42:AU45" si="82">IF($H11&lt;=$C$12,AU41+AS42,"")</f>
        <v/>
      </c>
      <c r="AV42" t="str">
        <f t="shared" ref="AV42:AV45" si="83">IF($H11&lt;=$C$12,AV41+AT42,"")</f>
        <v/>
      </c>
    </row>
    <row r="43" spans="1:48" x14ac:dyDescent="0.25">
      <c r="H43">
        <v>8</v>
      </c>
      <c r="I43" t="str">
        <f t="shared" si="33"/>
        <v/>
      </c>
      <c r="J43" t="str">
        <f t="shared" si="60"/>
        <v/>
      </c>
      <c r="K43" t="str">
        <f t="shared" si="35"/>
        <v/>
      </c>
      <c r="L43" t="str">
        <f t="shared" si="61"/>
        <v/>
      </c>
      <c r="M43" t="str">
        <f t="shared" si="62"/>
        <v/>
      </c>
      <c r="N43" t="str">
        <f t="shared" si="26"/>
        <v/>
      </c>
      <c r="O43" t="str">
        <f t="shared" si="63"/>
        <v/>
      </c>
      <c r="P43" t="str">
        <f t="shared" si="39"/>
        <v/>
      </c>
      <c r="Q43" t="str">
        <f t="shared" si="64"/>
        <v/>
      </c>
      <c r="R43" t="str">
        <f t="shared" si="65"/>
        <v/>
      </c>
      <c r="S43" t="str">
        <f t="shared" si="27"/>
        <v/>
      </c>
      <c r="T43" t="str">
        <f t="shared" si="66"/>
        <v/>
      </c>
      <c r="U43" t="str">
        <f t="shared" si="42"/>
        <v/>
      </c>
      <c r="V43" t="str">
        <f t="shared" si="67"/>
        <v/>
      </c>
      <c r="W43" t="str">
        <f t="shared" si="68"/>
        <v/>
      </c>
      <c r="X43" t="str">
        <f t="shared" si="28"/>
        <v/>
      </c>
      <c r="Y43" t="str">
        <f t="shared" si="69"/>
        <v/>
      </c>
      <c r="Z43" t="str">
        <f t="shared" si="45"/>
        <v/>
      </c>
      <c r="AA43" t="str">
        <f t="shared" si="70"/>
        <v/>
      </c>
      <c r="AB43" t="str">
        <f t="shared" si="71"/>
        <v/>
      </c>
      <c r="AC43" t="str">
        <f t="shared" si="29"/>
        <v/>
      </c>
      <c r="AD43" t="str">
        <f t="shared" si="72"/>
        <v/>
      </c>
      <c r="AE43" t="str">
        <f t="shared" si="48"/>
        <v/>
      </c>
      <c r="AF43" t="str">
        <f t="shared" si="73"/>
        <v/>
      </c>
      <c r="AG43" t="str">
        <f t="shared" si="74"/>
        <v/>
      </c>
      <c r="AH43" t="str">
        <f t="shared" si="30"/>
        <v/>
      </c>
      <c r="AI43" t="str">
        <f t="shared" si="75"/>
        <v/>
      </c>
      <c r="AJ43" t="str">
        <f t="shared" si="51"/>
        <v/>
      </c>
      <c r="AK43" t="str">
        <f t="shared" si="76"/>
        <v/>
      </c>
      <c r="AL43" t="str">
        <f t="shared" si="77"/>
        <v/>
      </c>
      <c r="AM43" t="str">
        <f t="shared" si="31"/>
        <v/>
      </c>
      <c r="AN43" t="str">
        <f t="shared" si="78"/>
        <v/>
      </c>
      <c r="AO43" t="str">
        <f t="shared" si="54"/>
        <v/>
      </c>
      <c r="AP43" t="str">
        <f t="shared" si="79"/>
        <v/>
      </c>
      <c r="AQ43" t="str">
        <f t="shared" si="80"/>
        <v/>
      </c>
      <c r="AR43" t="str">
        <f t="shared" si="32"/>
        <v/>
      </c>
      <c r="AS43" t="str">
        <f t="shared" si="81"/>
        <v/>
      </c>
      <c r="AT43" t="str">
        <f t="shared" si="57"/>
        <v/>
      </c>
      <c r="AU43" t="str">
        <f t="shared" si="82"/>
        <v/>
      </c>
      <c r="AV43" t="str">
        <f t="shared" si="83"/>
        <v/>
      </c>
    </row>
    <row r="44" spans="1:48" x14ac:dyDescent="0.25">
      <c r="A44" t="s">
        <v>116</v>
      </c>
      <c r="C44" s="2">
        <f>ASIN(C$39/C$40)</f>
        <v>5.3333335861728722E-4</v>
      </c>
      <c r="D44" s="2" t="s">
        <v>13</v>
      </c>
      <c r="E44" s="2">
        <f>DEGREES(C44)</f>
        <v>3.0557750522307754E-2</v>
      </c>
      <c r="F44" s="2" t="s">
        <v>12</v>
      </c>
      <c r="G44" s="2"/>
      <c r="H44">
        <v>9</v>
      </c>
      <c r="I44" t="str">
        <f t="shared" si="33"/>
        <v/>
      </c>
      <c r="J44" t="str">
        <f t="shared" si="60"/>
        <v/>
      </c>
      <c r="K44" t="str">
        <f t="shared" si="35"/>
        <v/>
      </c>
      <c r="L44" t="str">
        <f t="shared" si="61"/>
        <v/>
      </c>
      <c r="M44" t="str">
        <f t="shared" si="62"/>
        <v/>
      </c>
      <c r="N44" t="str">
        <f t="shared" si="26"/>
        <v/>
      </c>
      <c r="O44" t="str">
        <f t="shared" si="63"/>
        <v/>
      </c>
      <c r="P44" t="str">
        <f t="shared" si="39"/>
        <v/>
      </c>
      <c r="Q44" t="str">
        <f t="shared" si="64"/>
        <v/>
      </c>
      <c r="R44" t="str">
        <f t="shared" si="65"/>
        <v/>
      </c>
      <c r="S44" t="str">
        <f t="shared" si="27"/>
        <v/>
      </c>
      <c r="T44" t="str">
        <f t="shared" si="66"/>
        <v/>
      </c>
      <c r="U44" t="str">
        <f t="shared" si="42"/>
        <v/>
      </c>
      <c r="V44" t="str">
        <f t="shared" si="67"/>
        <v/>
      </c>
      <c r="W44" t="str">
        <f t="shared" si="68"/>
        <v/>
      </c>
      <c r="X44" t="str">
        <f t="shared" si="28"/>
        <v/>
      </c>
      <c r="Y44" t="str">
        <f t="shared" si="69"/>
        <v/>
      </c>
      <c r="Z44" t="str">
        <f t="shared" si="45"/>
        <v/>
      </c>
      <c r="AA44" t="str">
        <f t="shared" si="70"/>
        <v/>
      </c>
      <c r="AB44" t="str">
        <f t="shared" si="71"/>
        <v/>
      </c>
      <c r="AC44" t="str">
        <f t="shared" si="29"/>
        <v/>
      </c>
      <c r="AD44" t="str">
        <f t="shared" si="72"/>
        <v/>
      </c>
      <c r="AE44" t="str">
        <f t="shared" si="48"/>
        <v/>
      </c>
      <c r="AF44" t="str">
        <f t="shared" si="73"/>
        <v/>
      </c>
      <c r="AG44" t="str">
        <f t="shared" si="74"/>
        <v/>
      </c>
      <c r="AH44" t="str">
        <f t="shared" si="30"/>
        <v/>
      </c>
      <c r="AI44" t="str">
        <f t="shared" si="75"/>
        <v/>
      </c>
      <c r="AJ44" t="str">
        <f t="shared" si="51"/>
        <v/>
      </c>
      <c r="AK44" t="str">
        <f t="shared" si="76"/>
        <v/>
      </c>
      <c r="AL44" t="str">
        <f t="shared" si="77"/>
        <v/>
      </c>
      <c r="AM44" t="str">
        <f t="shared" si="31"/>
        <v/>
      </c>
      <c r="AN44" t="str">
        <f t="shared" si="78"/>
        <v/>
      </c>
      <c r="AO44" t="str">
        <f t="shared" si="54"/>
        <v/>
      </c>
      <c r="AP44" t="str">
        <f t="shared" si="79"/>
        <v/>
      </c>
      <c r="AQ44" t="str">
        <f t="shared" si="80"/>
        <v/>
      </c>
      <c r="AR44" t="str">
        <f t="shared" si="32"/>
        <v/>
      </c>
      <c r="AS44" t="str">
        <f t="shared" si="81"/>
        <v/>
      </c>
      <c r="AT44" t="str">
        <f t="shared" si="57"/>
        <v/>
      </c>
      <c r="AU44" t="str">
        <f t="shared" si="82"/>
        <v/>
      </c>
      <c r="AV44" t="str">
        <f t="shared" si="83"/>
        <v/>
      </c>
    </row>
    <row r="45" spans="1:48" x14ac:dyDescent="0.25">
      <c r="A45" t="s">
        <v>115</v>
      </c>
      <c r="C45" s="2">
        <f>ASIN(C$39/C$42)</f>
        <v>2.2857143056171048E-4</v>
      </c>
      <c r="D45" s="2" t="s">
        <v>13</v>
      </c>
      <c r="E45" s="2">
        <f>DEGREES(C45)</f>
        <v>1.309617828845357E-2</v>
      </c>
      <c r="F45" s="2" t="s">
        <v>12</v>
      </c>
      <c r="G45" s="2"/>
      <c r="H45">
        <v>10</v>
      </c>
      <c r="I45" t="str">
        <f t="shared" si="33"/>
        <v/>
      </c>
      <c r="J45" t="str">
        <f t="shared" si="60"/>
        <v/>
      </c>
      <c r="K45" t="str">
        <f t="shared" si="35"/>
        <v/>
      </c>
      <c r="L45" t="str">
        <f t="shared" si="61"/>
        <v/>
      </c>
      <c r="M45" t="str">
        <f t="shared" si="62"/>
        <v/>
      </c>
      <c r="N45" t="str">
        <f t="shared" si="26"/>
        <v/>
      </c>
      <c r="O45" t="str">
        <f t="shared" si="63"/>
        <v/>
      </c>
      <c r="P45" t="str">
        <f t="shared" si="39"/>
        <v/>
      </c>
      <c r="Q45" t="str">
        <f t="shared" si="64"/>
        <v/>
      </c>
      <c r="R45" t="str">
        <f t="shared" si="65"/>
        <v/>
      </c>
      <c r="S45" t="str">
        <f t="shared" si="27"/>
        <v/>
      </c>
      <c r="T45" t="str">
        <f t="shared" si="66"/>
        <v/>
      </c>
      <c r="U45" t="str">
        <f t="shared" si="42"/>
        <v/>
      </c>
      <c r="V45" t="str">
        <f t="shared" si="67"/>
        <v/>
      </c>
      <c r="W45" t="str">
        <f t="shared" si="68"/>
        <v/>
      </c>
      <c r="X45" t="str">
        <f t="shared" si="28"/>
        <v/>
      </c>
      <c r="Y45" t="str">
        <f t="shared" si="69"/>
        <v/>
      </c>
      <c r="Z45" t="str">
        <f t="shared" si="45"/>
        <v/>
      </c>
      <c r="AA45" t="str">
        <f t="shared" si="70"/>
        <v/>
      </c>
      <c r="AB45" t="str">
        <f t="shared" si="71"/>
        <v/>
      </c>
      <c r="AC45" t="str">
        <f t="shared" si="29"/>
        <v/>
      </c>
      <c r="AD45" t="str">
        <f t="shared" si="72"/>
        <v/>
      </c>
      <c r="AE45" t="str">
        <f t="shared" si="48"/>
        <v/>
      </c>
      <c r="AF45" t="str">
        <f t="shared" si="73"/>
        <v/>
      </c>
      <c r="AG45" t="str">
        <f t="shared" si="74"/>
        <v/>
      </c>
      <c r="AH45" t="str">
        <f t="shared" si="30"/>
        <v/>
      </c>
      <c r="AI45" t="str">
        <f t="shared" si="75"/>
        <v/>
      </c>
      <c r="AJ45" t="str">
        <f t="shared" si="51"/>
        <v/>
      </c>
      <c r="AK45" t="str">
        <f t="shared" si="76"/>
        <v/>
      </c>
      <c r="AL45" t="str">
        <f t="shared" si="77"/>
        <v/>
      </c>
      <c r="AM45" t="str">
        <f t="shared" si="31"/>
        <v/>
      </c>
      <c r="AN45" t="str">
        <f t="shared" si="78"/>
        <v/>
      </c>
      <c r="AO45" t="str">
        <f t="shared" si="54"/>
        <v/>
      </c>
      <c r="AP45" t="str">
        <f t="shared" si="79"/>
        <v/>
      </c>
      <c r="AQ45" t="str">
        <f t="shared" si="80"/>
        <v/>
      </c>
      <c r="AR45" t="str">
        <f t="shared" si="32"/>
        <v/>
      </c>
      <c r="AS45" t="str">
        <f t="shared" si="81"/>
        <v/>
      </c>
      <c r="AT45" t="str">
        <f t="shared" si="57"/>
        <v/>
      </c>
      <c r="AU45" t="str">
        <f t="shared" si="82"/>
        <v/>
      </c>
      <c r="AV45" t="str">
        <f t="shared" si="83"/>
        <v/>
      </c>
    </row>
    <row r="46" spans="1:48" x14ac:dyDescent="0.25">
      <c r="A46" s="14" t="s">
        <v>113</v>
      </c>
      <c r="B46" s="9"/>
      <c r="C46" s="6">
        <f>ASIN(2*C$39/C$40)</f>
        <v>1.0666668689383754E-3</v>
      </c>
      <c r="D46" s="6" t="s">
        <v>13</v>
      </c>
      <c r="E46" s="6">
        <f>DEGREES(C46)</f>
        <v>6.1115509736603041E-2</v>
      </c>
      <c r="F46" s="6" t="s">
        <v>12</v>
      </c>
      <c r="G46" s="6" t="s">
        <v>112</v>
      </c>
      <c r="I46" s="15" t="s">
        <v>118</v>
      </c>
    </row>
    <row r="47" spans="1:48" x14ac:dyDescent="0.25">
      <c r="A47" t="s">
        <v>114</v>
      </c>
      <c r="C47" s="2">
        <f>ASIN(2*C$39/C$42)</f>
        <v>4.5714287306511332E-4</v>
      </c>
      <c r="D47" s="2" t="s">
        <v>13</v>
      </c>
      <c r="E47" s="2">
        <f>DEGREES(C47)</f>
        <v>2.6192357261115712E-2</v>
      </c>
      <c r="F47" s="2" t="s">
        <v>12</v>
      </c>
      <c r="G47" s="2"/>
      <c r="I47" s="41">
        <v>0</v>
      </c>
      <c r="U47" s="9" t="s">
        <v>109</v>
      </c>
      <c r="AB47" s="11" t="s">
        <v>119</v>
      </c>
      <c r="AC47" t="s">
        <v>120</v>
      </c>
      <c r="AO47" s="9" t="s">
        <v>109</v>
      </c>
    </row>
    <row r="48" spans="1:48" x14ac:dyDescent="0.25">
      <c r="H48" s="11"/>
      <c r="I48" s="44" t="str">
        <f>CONCATENATE("2 Segment (No Load)")</f>
        <v>2 Segment (No Load)</v>
      </c>
      <c r="J48" s="45"/>
      <c r="K48" s="45"/>
      <c r="L48" s="45"/>
      <c r="M48" s="46"/>
      <c r="N48" s="44" t="s">
        <v>73</v>
      </c>
      <c r="O48" s="45"/>
      <c r="P48" s="45"/>
      <c r="Q48" s="45"/>
      <c r="R48" s="46"/>
      <c r="S48" s="44" t="str">
        <f>CONCATENATE("3 Segment (No Load)")</f>
        <v>3 Segment (No Load)</v>
      </c>
      <c r="T48" s="45"/>
      <c r="U48" s="45"/>
      <c r="V48" s="45"/>
      <c r="W48" s="46"/>
      <c r="X48" s="44" t="s">
        <v>75</v>
      </c>
      <c r="Y48" s="45"/>
      <c r="Z48" s="45"/>
      <c r="AA48" s="45"/>
      <c r="AB48" s="46"/>
      <c r="AC48" s="44" t="str">
        <f>CONCATENATE("2 Segment (No Load)")</f>
        <v>2 Segment (No Load)</v>
      </c>
      <c r="AD48" s="45"/>
      <c r="AE48" s="45"/>
      <c r="AF48" s="45"/>
      <c r="AG48" s="46"/>
      <c r="AH48" s="44" t="s">
        <v>73</v>
      </c>
      <c r="AI48" s="45"/>
      <c r="AJ48" s="45"/>
      <c r="AK48" s="45"/>
      <c r="AL48" s="46"/>
      <c r="AM48" s="44" t="str">
        <f>CONCATENATE("3 Segment (No Load)")</f>
        <v>3 Segment (No Load)</v>
      </c>
      <c r="AN48" s="45"/>
      <c r="AO48" s="45"/>
      <c r="AP48" s="45"/>
      <c r="AQ48" s="46"/>
      <c r="AR48" s="44" t="s">
        <v>75</v>
      </c>
      <c r="AS48" s="45"/>
      <c r="AT48" s="45"/>
      <c r="AU48" s="45"/>
      <c r="AV48" s="46"/>
    </row>
    <row r="49" spans="1:48" x14ac:dyDescent="0.25">
      <c r="H49" s="13" t="s">
        <v>40</v>
      </c>
      <c r="I49" s="22" t="s">
        <v>68</v>
      </c>
      <c r="J49" s="23" t="s">
        <v>69</v>
      </c>
      <c r="K49" s="23" t="s">
        <v>70</v>
      </c>
      <c r="L49" s="24" t="s">
        <v>71</v>
      </c>
      <c r="M49" s="24" t="s">
        <v>72</v>
      </c>
      <c r="N49" s="22" t="s">
        <v>68</v>
      </c>
      <c r="O49" s="23" t="s">
        <v>69</v>
      </c>
      <c r="P49" s="23" t="s">
        <v>70</v>
      </c>
      <c r="Q49" s="24" t="s">
        <v>71</v>
      </c>
      <c r="R49" s="24" t="s">
        <v>72</v>
      </c>
      <c r="S49" s="22" t="s">
        <v>68</v>
      </c>
      <c r="T49" s="23" t="s">
        <v>69</v>
      </c>
      <c r="U49" s="23" t="s">
        <v>70</v>
      </c>
      <c r="V49" s="24" t="s">
        <v>71</v>
      </c>
      <c r="W49" s="24" t="s">
        <v>72</v>
      </c>
      <c r="X49" s="22" t="s">
        <v>68</v>
      </c>
      <c r="Y49" s="23" t="s">
        <v>69</v>
      </c>
      <c r="Z49" s="23" t="s">
        <v>70</v>
      </c>
      <c r="AA49" s="24" t="s">
        <v>71</v>
      </c>
      <c r="AB49" s="24" t="s">
        <v>72</v>
      </c>
      <c r="AC49" s="22" t="s">
        <v>68</v>
      </c>
      <c r="AD49" s="23" t="s">
        <v>69</v>
      </c>
      <c r="AE49" s="23" t="s">
        <v>70</v>
      </c>
      <c r="AF49" s="24" t="s">
        <v>71</v>
      </c>
      <c r="AG49" s="24" t="s">
        <v>72</v>
      </c>
      <c r="AH49" s="22" t="s">
        <v>68</v>
      </c>
      <c r="AI49" s="23" t="s">
        <v>69</v>
      </c>
      <c r="AJ49" s="23" t="s">
        <v>70</v>
      </c>
      <c r="AK49" s="24" t="s">
        <v>71</v>
      </c>
      <c r="AL49" s="24" t="s">
        <v>72</v>
      </c>
      <c r="AM49" s="22" t="s">
        <v>68</v>
      </c>
      <c r="AN49" s="23" t="s">
        <v>69</v>
      </c>
      <c r="AO49" s="23" t="s">
        <v>70</v>
      </c>
      <c r="AP49" s="24" t="s">
        <v>71</v>
      </c>
      <c r="AQ49" s="24" t="s">
        <v>72</v>
      </c>
      <c r="AR49" s="22" t="s">
        <v>68</v>
      </c>
      <c r="AS49" s="23" t="s">
        <v>69</v>
      </c>
      <c r="AT49" s="23" t="s">
        <v>70</v>
      </c>
      <c r="AU49" s="24" t="s">
        <v>71</v>
      </c>
      <c r="AV49" s="24" t="s">
        <v>72</v>
      </c>
    </row>
    <row r="50" spans="1:48" x14ac:dyDescent="0.25">
      <c r="H50">
        <v>0</v>
      </c>
      <c r="I50">
        <f t="shared" ref="I50:I56" si="84">IF($H50&lt;=$C$12,$H50*MIN($C$36,$C$44)+$I$47,"")</f>
        <v>0</v>
      </c>
      <c r="J50">
        <f>IF($H50&lt;=$C$12,0,"")</f>
        <v>0</v>
      </c>
      <c r="K50">
        <f>IF($H50&lt;=$C$12,0,"")</f>
        <v>0</v>
      </c>
      <c r="L50">
        <f>IF($H50&lt;=$C$12,0,"")</f>
        <v>0</v>
      </c>
      <c r="M50">
        <f>IF($H50&lt;=$C$12,0,"")</f>
        <v>0</v>
      </c>
      <c r="N50">
        <f t="shared" ref="N50:N56" si="85">IF($H50&lt;=$C$12,$H50*MIN($C$36,$C$45)+$I$47,"")</f>
        <v>0</v>
      </c>
      <c r="O50">
        <f>IF($H50&lt;=$C$12,0,"")</f>
        <v>0</v>
      </c>
      <c r="P50">
        <f>IF($H50&lt;=$C$12,0,"")</f>
        <v>0</v>
      </c>
      <c r="Q50">
        <f>IF($H50&lt;=$C$12,0,"")</f>
        <v>0</v>
      </c>
      <c r="R50">
        <f>IF($H50&lt;=$C$12,0,"")</f>
        <v>0</v>
      </c>
      <c r="S50">
        <f t="shared" ref="S50:S56" si="86">IF($H50&lt;=$C$12,$H50*MIN($C$36,$C$46)+$I$47,"")</f>
        <v>0</v>
      </c>
      <c r="T50">
        <f>IF($H50&lt;=$C$12,0,"")</f>
        <v>0</v>
      </c>
      <c r="U50">
        <f>IF($H50&lt;=$C$12,0,"")</f>
        <v>0</v>
      </c>
      <c r="V50">
        <f>IF($H50&lt;=$C$12,0,"")</f>
        <v>0</v>
      </c>
      <c r="W50">
        <f>IF($H50&lt;=$C$12,0,"")</f>
        <v>0</v>
      </c>
      <c r="X50">
        <f t="shared" ref="X50:X56" si="87">IF($H50&lt;=$C$12,$H50*MIN($C$36,$C$47)+$I$47,"")</f>
        <v>0</v>
      </c>
      <c r="Y50">
        <f>IF($H50&lt;=$C$12,0,"")</f>
        <v>0</v>
      </c>
      <c r="Z50">
        <f>IF($H50&lt;=$C$12,0,"")</f>
        <v>0</v>
      </c>
      <c r="AA50">
        <f>IF($H50&lt;=$C$12,0,"")</f>
        <v>0</v>
      </c>
      <c r="AB50">
        <f>IF($H50&lt;=$C$12,0,"")</f>
        <v>0</v>
      </c>
      <c r="AC50">
        <f t="shared" ref="AC50:AC56" si="88">IF($H50&lt;=$C$12,$H50*MIN($C$36,$C$44)+$I$47,"")</f>
        <v>0</v>
      </c>
      <c r="AD50">
        <f>IF($H50&lt;=$C$12,0,"")</f>
        <v>0</v>
      </c>
      <c r="AE50">
        <f>IF($H50&lt;=$C$12,0,"")</f>
        <v>0</v>
      </c>
      <c r="AF50">
        <f>IF($H50&lt;=$C$12,0,"")</f>
        <v>0</v>
      </c>
      <c r="AG50">
        <f>IF($H50&lt;=$C$12,0,"")</f>
        <v>0</v>
      </c>
      <c r="AH50">
        <f t="shared" ref="AH50:AH56" si="89">IF($H50&lt;=$C$12,$H50*MIN($C$36,$C$45)+$I$47,"")</f>
        <v>0</v>
      </c>
      <c r="AI50">
        <f>IF($H50&lt;=$C$12,0,"")</f>
        <v>0</v>
      </c>
      <c r="AJ50">
        <f>IF($H50&lt;=$C$12,0,"")</f>
        <v>0</v>
      </c>
      <c r="AK50">
        <f>IF($H50&lt;=$C$12,0,"")</f>
        <v>0</v>
      </c>
      <c r="AL50">
        <f>IF($H50&lt;=$C$12,0,"")</f>
        <v>0</v>
      </c>
      <c r="AM50">
        <f t="shared" ref="AM50:AM56" si="90">IF($H50&lt;=$C$12,$H50*MIN($C$36,$C$46)+$I$47,"")</f>
        <v>0</v>
      </c>
      <c r="AN50">
        <f>IF($H50&lt;=$C$12,0,"")</f>
        <v>0</v>
      </c>
      <c r="AO50">
        <f>IF($H50&lt;=$C$12,0,"")</f>
        <v>0</v>
      </c>
      <c r="AP50">
        <f>IF($H50&lt;=$C$12,0,"")</f>
        <v>0</v>
      </c>
      <c r="AQ50">
        <f>IF($H50&lt;=$C$12,0,"")</f>
        <v>0</v>
      </c>
      <c r="AR50">
        <f t="shared" ref="AR50:AR56" si="91">IF($H50&lt;=$C$12,$H50*MIN($C$36,$C$47)+$I$47,"")</f>
        <v>0</v>
      </c>
      <c r="AS50">
        <f>IF($H50&lt;=$C$12,0,"")</f>
        <v>0</v>
      </c>
      <c r="AT50">
        <f>IF($H50&lt;=$C$12,0,"")</f>
        <v>0</v>
      </c>
      <c r="AU50">
        <f>IF($H50&lt;=$C$12,0,"")</f>
        <v>0</v>
      </c>
      <c r="AV50">
        <f>IF($H50&lt;=$C$12,0,"")</f>
        <v>0</v>
      </c>
    </row>
    <row r="51" spans="1:48" x14ac:dyDescent="0.25">
      <c r="H51">
        <v>1</v>
      </c>
      <c r="I51">
        <f t="shared" si="84"/>
        <v>5.3333335861728722E-4</v>
      </c>
      <c r="J51">
        <f>IF($H51&lt;=$C$12,$C$4*COS($C$10)*COS(MIN($C$36,$C$44)+$I$47)+K50*SIN(MIN($C$36,$C$44)+$I$47),"")</f>
        <v>2.2175964438287883</v>
      </c>
      <c r="K51">
        <f>IF($H51&lt;=$C$12,-$C$4*COS($C$10)*SIN(MIN($C$36,$C$44)+$I$47)+K50*COS(MIN($C$36,$C$44)+$I$47),"")</f>
        <v>-1.1827182715841865E-3</v>
      </c>
      <c r="L51">
        <f>IF($H51&lt;=$C$12,L50+J51,"")</f>
        <v>2.2175964438287883</v>
      </c>
      <c r="M51">
        <f>IF($H51&lt;=$C$12,M50+K51,"")</f>
        <v>-1.1827182715841865E-3</v>
      </c>
      <c r="N51">
        <f t="shared" si="85"/>
        <v>2.2857143056171048E-4</v>
      </c>
      <c r="O51">
        <f>IF($H51&lt;=$C$12,$C$4*COS($C$10)*COS(MIN($C$36,$C$44)+$I$47)+P50*SIN(MIN($C$36,$C$44)+$I$47),"")</f>
        <v>2.2175964438287883</v>
      </c>
      <c r="P51">
        <f>IF($H51&lt;=$C$12,-$C$4*COS($C$10)*SIN(MIN($C$36,$C$44)+$I$47)+P50*COS(MIN($C$36,$C$44)+$I$47),"")</f>
        <v>-1.1827182715841865E-3</v>
      </c>
      <c r="Q51">
        <f>IF($H51&lt;=$C$12,Q50+O51,"")</f>
        <v>2.2175964438287883</v>
      </c>
      <c r="R51">
        <f>IF($H51&lt;=$C$12,R50+P51,"")</f>
        <v>-1.1827182715841865E-3</v>
      </c>
      <c r="S51">
        <f t="shared" si="86"/>
        <v>6.6666671604939263E-4</v>
      </c>
      <c r="T51">
        <f>IF($H51&lt;=$C$12,$C$4*COS($C$10)*COS(MIN($C$36,$C$46)+$I$47)+U50*SIN(MIN($C$36,$C$46)+$I$47),"")</f>
        <v>2.2175962664210149</v>
      </c>
      <c r="U51">
        <f>IF($H51&lt;=$C$12,-$C$4*COS($C$10)*SIN(MIN($C$36,$C$46)+$I$47)+U50*COS(MIN($C$36,$C$46)+$I$47),"")</f>
        <v>-1.4783978394802332E-3</v>
      </c>
      <c r="V51">
        <f>IF($H51&lt;=$C$12,V50+T51,"")</f>
        <v>2.2175962664210149</v>
      </c>
      <c r="W51">
        <f>IF($H51&lt;=$C$12,W50+U51,"")</f>
        <v>-1.4783978394802332E-3</v>
      </c>
      <c r="X51">
        <f t="shared" si="87"/>
        <v>4.5714287306511332E-4</v>
      </c>
      <c r="Y51">
        <f>IF($H51&lt;=$C$12,$C$4*COS($C$10)*COS(MIN($C$36,$C$47)+$I$47)+Z50*SIN(MIN($C$36,$C$47)+$I$47),"")</f>
        <v>2.2175965275041047</v>
      </c>
      <c r="Z51">
        <f>IF($H51&lt;=$C$12,-$C$4*COS($C$10)*SIN(MIN($C$36,$C$47)+$I$47)+Z50*COS(MIN($C$36,$C$47)+$I$47),"")</f>
        <v>-1.0137585185007313E-3</v>
      </c>
      <c r="AA51">
        <f>IF($H51&lt;=$C$12,AA50+Y51,"")</f>
        <v>2.2175965275041047</v>
      </c>
      <c r="AB51">
        <f>IF($H51&lt;=$C$12,AB50+Z51,"")</f>
        <v>-1.0137585185007313E-3</v>
      </c>
      <c r="AC51">
        <f t="shared" si="88"/>
        <v>5.3333335861728722E-4</v>
      </c>
      <c r="AD51">
        <f>IF($H51&lt;=$C$12,$E$4*COS($C$10)*COS(MIN($C$36,$C$44)+$I$47)+AE50*SIN(MIN($C$36,$C$44)+$I$47),"")</f>
        <v>56.326949673251214</v>
      </c>
      <c r="AE51">
        <f>IF($H51&lt;=$C$12,-$E$4*COS($C$10)*SIN(MIN($C$36,$C$44)+$I$47)+AE50*COS(MIN($C$36,$C$44)+$I$47),"")</f>
        <v>-3.0041044098238337E-2</v>
      </c>
      <c r="AF51">
        <f>IF($H51&lt;=$C$12,AF50+AD51,"")</f>
        <v>56.326949673251214</v>
      </c>
      <c r="AG51">
        <f>IF($H51&lt;=$C$12,AG50+AE51,"")</f>
        <v>-3.0041044098238337E-2</v>
      </c>
      <c r="AH51">
        <f t="shared" si="89"/>
        <v>2.2857143056171048E-4</v>
      </c>
      <c r="AI51">
        <f>IF($H51&lt;=$C$12,$E$4*COS($C$10)*COS(MIN($C$36,$C$45)+$I$47)+AJ50*SIN(MIN($C$36,$C$45)+$I$47),"")</f>
        <v>56.326956212798777</v>
      </c>
      <c r="AJ51">
        <f>IF($H51&lt;=$C$12,-$E$4*COS($C$10)*SIN(MIN($C$36,$C$45)+$I$47)+AJ50*COS(MIN($C$36,$C$45)+$I$47),"")</f>
        <v>-1.2874733184959287E-2</v>
      </c>
      <c r="AK51">
        <f>IF($H51&lt;=$C$12,AK50+AI51,"")</f>
        <v>56.326956212798777</v>
      </c>
      <c r="AL51">
        <f>IF($H51&lt;=$C$12,AL50+AJ51,"")</f>
        <v>-1.2874733184959287E-2</v>
      </c>
      <c r="AM51">
        <f t="shared" si="90"/>
        <v>6.6666671604939263E-4</v>
      </c>
      <c r="AN51">
        <f>IF($H51&lt;=$C$12,$E$4*COS($C$10)*COS(MIN($C$36,$C$46)+$I$47)+AO50*SIN(MIN($C$36,$C$46)+$I$47),"")</f>
        <v>56.326945167093776</v>
      </c>
      <c r="AO51">
        <f>IF($H51&lt;=$C$12,-$E$4*COS($C$10)*SIN(MIN($C$36,$C$46)+$I$47)+AO50*COS(MIN($C$36,$C$46)+$I$47),"")</f>
        <v>-3.7551305122797925E-2</v>
      </c>
      <c r="AP51">
        <f>IF($H51&lt;=$C$12,AP50+AN51,"")</f>
        <v>56.326945167093776</v>
      </c>
      <c r="AQ51">
        <f>IF($H51&lt;=$C$12,AQ50+AO51,"")</f>
        <v>-3.7551305122797925E-2</v>
      </c>
      <c r="AR51">
        <f t="shared" si="91"/>
        <v>4.5714287306511332E-4</v>
      </c>
      <c r="AS51">
        <f>IF($H51&lt;=$C$12,$E$4*COS($C$10)*COS(MIN($C$36,$C$47)+$I$47)+AT50*SIN(MIN($C$36,$C$47)+$I$47),"")</f>
        <v>56.326951798604256</v>
      </c>
      <c r="AT51">
        <f>IF($H51&lt;=$C$12,-$E$4*COS($C$10)*SIN(MIN($C$36,$C$47)+$I$47)+AT50*COS(MIN($C$36,$C$47)+$I$47),"")</f>
        <v>-2.5749466369918574E-2</v>
      </c>
      <c r="AU51">
        <f>IF($H51&lt;=$C$12,AU50+AS51,"")</f>
        <v>56.326951798604256</v>
      </c>
      <c r="AV51">
        <f>IF($H51&lt;=$C$12,AV50+AT51,"")</f>
        <v>-2.5749466369918574E-2</v>
      </c>
    </row>
    <row r="52" spans="1:48" x14ac:dyDescent="0.25">
      <c r="H52">
        <v>2</v>
      </c>
      <c r="I52">
        <f t="shared" si="84"/>
        <v>1.0666667172345744E-3</v>
      </c>
      <c r="J52">
        <f t="shared" ref="J52:J56" si="92">IF($H52&lt;=$C$12,$C$4*COS($C$10)*COS(MIN($C$36,$C$44))+K51*SIN(MIN($C$36,$C$44)),"")</f>
        <v>2.2175958130457101</v>
      </c>
      <c r="K52">
        <f t="shared" ref="K52:K60" si="93">IF($H52&lt;=$C$12,-$C$4*COS($C$10)*SIN(MIN($C$36,$C$44))+K51*COS(MIN($C$36,$C$44)),"")</f>
        <v>-2.3654363749595403E-3</v>
      </c>
      <c r="L52">
        <f t="shared" ref="L52:L56" si="94">IF($H52&lt;=$C$12,L51+J52,"")</f>
        <v>4.4351922568744984</v>
      </c>
      <c r="M52">
        <f t="shared" ref="M52:M56" si="95">IF($H52&lt;=$C$12,M51+K52,"")</f>
        <v>-3.548154646543727E-3</v>
      </c>
      <c r="N52">
        <f t="shared" si="85"/>
        <v>4.5714286112342095E-4</v>
      </c>
      <c r="O52">
        <f t="shared" ref="O52:O56" si="96">IF($H52&lt;=$C$12,$C$4*COS($C$10)*COS(MIN($C$36,$C$45))+P51*SIN(MIN($C$36,$C$45)),"")</f>
        <v>2.2175964309556857</v>
      </c>
      <c r="P52">
        <f t="shared" ref="P52:P60" si="97">IF($H52&lt;=$C$12,-$C$4*COS($C$10)*SIN(MIN($C$36,$C$45))+P51*COS(MIN($C$36,$C$45)),"")</f>
        <v>-1.6895974999390538E-3</v>
      </c>
      <c r="Q52">
        <f t="shared" ref="Q52:Q56" si="98">IF($H52&lt;=$C$12,Q51+O52,"")</f>
        <v>4.435192874784474</v>
      </c>
      <c r="R52">
        <f t="shared" ref="R52:R56" si="99">IF($H52&lt;=$C$12,R51+P52,"")</f>
        <v>-2.8723157715232405E-3</v>
      </c>
      <c r="S52">
        <f t="shared" si="86"/>
        <v>1.3333334320987853E-3</v>
      </c>
      <c r="T52">
        <f t="shared" ref="T52:T56" si="100">IF($H52&lt;=$C$12,$C$4*COS($C$10)*COS(MIN($C$36,$C$46))+U51*SIN(MIN($C$36,$C$46)),"")</f>
        <v>2.2175952808224553</v>
      </c>
      <c r="U52">
        <f t="shared" ref="U52:U60" si="101">IF($H52&lt;=$C$12,-$C$4*COS($C$10)*SIN(MIN($C$36,$C$46))+U51*COS(MIN($C$36,$C$46)),"")</f>
        <v>-2.9567953504275766E-3</v>
      </c>
      <c r="V52">
        <f t="shared" ref="V52:V56" si="102">IF($H52&lt;=$C$12,V51+T52,"")</f>
        <v>4.4351915472434698</v>
      </c>
      <c r="W52">
        <f t="shared" ref="W52:W56" si="103">IF($H52&lt;=$C$12,W51+U52,"")</f>
        <v>-4.4351931899078096E-3</v>
      </c>
      <c r="X52">
        <f t="shared" si="87"/>
        <v>9.1428574613022665E-4</v>
      </c>
      <c r="Y52">
        <f t="shared" ref="Y52:Y56" si="104">IF($H52&lt;=$C$12,$C$4*COS($C$10)*COS(MIN($C$36,$C$47))+Z51*SIN(MIN($C$36,$C$47)),"")</f>
        <v>2.217596064071639</v>
      </c>
      <c r="Z52">
        <f t="shared" ref="Z52:Z60" si="105">IF($H52&lt;=$C$12,-$C$4*COS($C$10)*SIN(MIN($C$36,$C$47))+Z51*COS(MIN($C$36,$C$47)),"")</f>
        <v>-2.0275169310740365E-3</v>
      </c>
      <c r="AA52">
        <f t="shared" ref="AA52:AA56" si="106">IF($H52&lt;=$C$12,AA51+Y52,"")</f>
        <v>4.4351925915757437</v>
      </c>
      <c r="AB52">
        <f t="shared" ref="AB52:AB56" si="107">IF($H52&lt;=$C$12,AB51+Z52,"")</f>
        <v>-3.0412754495747676E-3</v>
      </c>
      <c r="AC52">
        <f t="shared" si="88"/>
        <v>1.0666667172345744E-3</v>
      </c>
      <c r="AD52">
        <f t="shared" ref="AD52:AD56" si="108">IF($H52&lt;=$C$12,$E$4*COS($C$10)*COS(MIN($C$36,$C$44))+AE51*SIN(MIN($C$36,$C$44)),"")</f>
        <v>56.326933651361031</v>
      </c>
      <c r="AE52">
        <f t="shared" ref="AE52:AE60" si="109">IF($H52&lt;=$C$12,-$E$4*COS($C$10)*SIN(MIN($C$36,$C$44))+AE51*COS(MIN($C$36,$C$44)),"")</f>
        <v>-6.0082083923972324E-2</v>
      </c>
      <c r="AF52">
        <f t="shared" ref="AF52:AF56" si="110">IF($H52&lt;=$C$12,AF51+AD52,"")</f>
        <v>112.65388332461225</v>
      </c>
      <c r="AG52">
        <f t="shared" ref="AG52:AG56" si="111">IF($H52&lt;=$C$12,AG51+AE52,"")</f>
        <v>-9.0123128022210661E-2</v>
      </c>
      <c r="AH52">
        <f t="shared" si="89"/>
        <v>4.5714286112342095E-4</v>
      </c>
      <c r="AI52">
        <f t="shared" ref="AI52:AI56" si="112">IF($H52&lt;=$C$12,$E$4*COS($C$10)*COS(MIN($C$36,$C$45))+AJ51*SIN(MIN($C$36,$C$45)),"")</f>
        <v>56.326953270002619</v>
      </c>
      <c r="AJ52">
        <f t="shared" ref="AJ52:AJ60" si="113">IF($H52&lt;=$C$12,-$E$4*COS($C$10)*SIN(MIN($C$36,$C$45))+AJ51*COS(MIN($C$36,$C$45)),"")</f>
        <v>-2.5749466033599011E-2</v>
      </c>
      <c r="AK52">
        <f t="shared" ref="AK52:AK56" si="114">IF($H52&lt;=$C$12,AK51+AI52,"")</f>
        <v>112.6539094828014</v>
      </c>
      <c r="AL52">
        <f t="shared" ref="AL52:AL56" si="115">IF($H52&lt;=$C$12,AL51+AJ52,"")</f>
        <v>-3.8624199218558294E-2</v>
      </c>
      <c r="AM52">
        <f t="shared" si="90"/>
        <v>1.3333334320987853E-3</v>
      </c>
      <c r="AN52">
        <f t="shared" ref="AN52:AN56" si="116">IF($H52&lt;=$C$12,$E$4*COS($C$10)*COS(MIN($C$36,$C$46))+AO51*SIN(MIN($C$36,$C$46)),"")</f>
        <v>56.326920132890358</v>
      </c>
      <c r="AO52">
        <f t="shared" ref="AO52:AO60" si="117">IF($H52&lt;=$C$12,-$E$4*COS($C$10)*SIN(MIN($C$36,$C$46))+AO51*COS(MIN($C$36,$C$46)),"")</f>
        <v>-7.5102601900860447E-2</v>
      </c>
      <c r="AP52">
        <f t="shared" ref="AP52:AP56" si="118">IF($H52&lt;=$C$12,AP51+AN52,"")</f>
        <v>112.65386529998413</v>
      </c>
      <c r="AQ52">
        <f t="shared" ref="AQ52:AQ56" si="119">IF($H52&lt;=$C$12,AQ51+AO52,"")</f>
        <v>-0.11265390702365838</v>
      </c>
      <c r="AR52">
        <f t="shared" si="91"/>
        <v>9.1428574613022665E-4</v>
      </c>
      <c r="AS52">
        <f t="shared" ref="AS52:AS56" si="120">IF($H52&lt;=$C$12,$E$4*COS($C$10)*COS(MIN($C$36,$C$47))+AT51*SIN(MIN($C$36,$C$47)),"")</f>
        <v>56.326940027419631</v>
      </c>
      <c r="AT52">
        <f t="shared" ref="AT52:AT60" si="121">IF($H52&lt;=$C$12,-$E$4*COS($C$10)*SIN(MIN($C$36,$C$47))+AT51*COS(MIN($C$36,$C$47)),"")</f>
        <v>-5.1498930049280522E-2</v>
      </c>
      <c r="AU52">
        <f t="shared" ref="AU52:AU56" si="122">IF($H52&lt;=$C$12,AU51+AS52,"")</f>
        <v>112.65389182602388</v>
      </c>
      <c r="AV52">
        <f t="shared" ref="AV52:AV56" si="123">IF($H52&lt;=$C$12,AV51+AT52,"")</f>
        <v>-7.7248396419199089E-2</v>
      </c>
    </row>
    <row r="53" spans="1:48" x14ac:dyDescent="0.25">
      <c r="H53">
        <v>3</v>
      </c>
      <c r="I53">
        <f t="shared" si="84"/>
        <v>1.6000000758518615E-3</v>
      </c>
      <c r="J53">
        <f t="shared" si="92"/>
        <v>2.2175951822627216</v>
      </c>
      <c r="K53">
        <f t="shared" si="93"/>
        <v>-3.5481543101260849E-3</v>
      </c>
      <c r="L53">
        <f t="shared" si="94"/>
        <v>6.6527874391372199</v>
      </c>
      <c r="M53">
        <f t="shared" si="95"/>
        <v>-7.0963089566698119E-3</v>
      </c>
      <c r="N53">
        <f t="shared" si="85"/>
        <v>6.8571429168513137E-4</v>
      </c>
      <c r="O53">
        <f t="shared" si="96"/>
        <v>2.2175963150975764</v>
      </c>
      <c r="P53">
        <f t="shared" si="97"/>
        <v>-2.1964767150529944E-3</v>
      </c>
      <c r="Q53">
        <f t="shared" si="98"/>
        <v>6.6527891898820499</v>
      </c>
      <c r="R53">
        <f t="shared" si="99"/>
        <v>-5.0687924865762349E-3</v>
      </c>
      <c r="S53">
        <f t="shared" si="86"/>
        <v>2.0000001481481778E-3</v>
      </c>
      <c r="T53">
        <f t="shared" si="100"/>
        <v>2.2175942952241146</v>
      </c>
      <c r="U53">
        <f t="shared" si="101"/>
        <v>-4.435192532842103E-3</v>
      </c>
      <c r="V53">
        <f t="shared" si="102"/>
        <v>6.6527858424675843</v>
      </c>
      <c r="W53">
        <f t="shared" si="103"/>
        <v>-8.8703857227499135E-3</v>
      </c>
      <c r="X53">
        <f t="shared" si="87"/>
        <v>1.37142861919534E-3</v>
      </c>
      <c r="Y53">
        <f t="shared" si="104"/>
        <v>2.2175956006392221</v>
      </c>
      <c r="Z53">
        <f t="shared" si="105"/>
        <v>-3.0412752377199266E-3</v>
      </c>
      <c r="AA53">
        <f t="shared" si="106"/>
        <v>6.6527881922149659</v>
      </c>
      <c r="AB53">
        <f t="shared" si="107"/>
        <v>-6.0825506872946942E-3</v>
      </c>
      <c r="AC53">
        <f t="shared" si="88"/>
        <v>1.6000000758518615E-3</v>
      </c>
      <c r="AD53">
        <f t="shared" si="108"/>
        <v>56.326917629473122</v>
      </c>
      <c r="AE53">
        <f t="shared" si="109"/>
        <v>-9.0123119477202557E-2</v>
      </c>
      <c r="AF53">
        <f t="shared" si="110"/>
        <v>168.98080095408537</v>
      </c>
      <c r="AG53">
        <f t="shared" si="111"/>
        <v>-0.1802462474994132</v>
      </c>
      <c r="AH53">
        <f t="shared" si="89"/>
        <v>6.8571429168513137E-4</v>
      </c>
      <c r="AI53">
        <f t="shared" si="112"/>
        <v>56.326950327206539</v>
      </c>
      <c r="AJ53">
        <f t="shared" si="113"/>
        <v>-3.8624198545919176E-2</v>
      </c>
      <c r="AK53">
        <f t="shared" si="114"/>
        <v>168.98085981000793</v>
      </c>
      <c r="AL53">
        <f t="shared" si="115"/>
        <v>-7.7248397764477478E-2</v>
      </c>
      <c r="AM53">
        <f t="shared" si="90"/>
        <v>2.0000001481481778E-3</v>
      </c>
      <c r="AN53">
        <f t="shared" si="116"/>
        <v>56.326895098692511</v>
      </c>
      <c r="AO53">
        <f t="shared" si="117"/>
        <v>-0.11265389033418943</v>
      </c>
      <c r="AP53">
        <f t="shared" si="118"/>
        <v>168.98076039867664</v>
      </c>
      <c r="AQ53">
        <f t="shared" si="119"/>
        <v>-0.22530779735784781</v>
      </c>
      <c r="AR53">
        <f t="shared" si="91"/>
        <v>1.37142861919534E-3</v>
      </c>
      <c r="AS53">
        <f t="shared" si="120"/>
        <v>56.326928256236236</v>
      </c>
      <c r="AT53">
        <f t="shared" si="121"/>
        <v>-7.7248391038086117E-2</v>
      </c>
      <c r="AU53">
        <f t="shared" si="122"/>
        <v>168.98082008226012</v>
      </c>
      <c r="AV53">
        <f t="shared" si="123"/>
        <v>-0.15449678745728521</v>
      </c>
    </row>
    <row r="54" spans="1:48" x14ac:dyDescent="0.25">
      <c r="H54">
        <v>4</v>
      </c>
      <c r="I54">
        <f t="shared" si="84"/>
        <v>2.1333334344691489E-3</v>
      </c>
      <c r="J54">
        <f t="shared" si="92"/>
        <v>2.2175945514798228</v>
      </c>
      <c r="K54">
        <f t="shared" si="93"/>
        <v>-4.7308720770838451E-3</v>
      </c>
      <c r="L54">
        <f t="shared" si="94"/>
        <v>8.8703819906170427</v>
      </c>
      <c r="M54">
        <f t="shared" si="95"/>
        <v>-1.1827181033753657E-2</v>
      </c>
      <c r="N54">
        <f t="shared" si="85"/>
        <v>9.142857222468419E-4</v>
      </c>
      <c r="O54">
        <f t="shared" si="96"/>
        <v>2.2175961992394702</v>
      </c>
      <c r="P54">
        <f t="shared" si="97"/>
        <v>-2.7033559169260084E-3</v>
      </c>
      <c r="Q54">
        <f t="shared" si="98"/>
        <v>8.8703853891215196</v>
      </c>
      <c r="R54">
        <f t="shared" si="99"/>
        <v>-7.7721484035022433E-3</v>
      </c>
      <c r="S54">
        <f t="shared" si="86"/>
        <v>2.6666668641975705E-3</v>
      </c>
      <c r="T54">
        <f t="shared" si="100"/>
        <v>2.2175933096259932</v>
      </c>
      <c r="U54">
        <f t="shared" si="101"/>
        <v>-5.9135893867238859E-3</v>
      </c>
      <c r="V54">
        <f t="shared" si="102"/>
        <v>8.8703791520935766</v>
      </c>
      <c r="W54">
        <f t="shared" si="103"/>
        <v>-1.4783975109473799E-2</v>
      </c>
      <c r="X54">
        <f t="shared" si="87"/>
        <v>1.8285714922604533E-3</v>
      </c>
      <c r="Y54">
        <f t="shared" si="104"/>
        <v>2.2175951372068532</v>
      </c>
      <c r="Z54">
        <f t="shared" si="105"/>
        <v>-4.0550334384384127E-3</v>
      </c>
      <c r="AA54">
        <f t="shared" si="106"/>
        <v>8.87038332942182</v>
      </c>
      <c r="AB54">
        <f t="shared" si="107"/>
        <v>-1.0137584125733106E-2</v>
      </c>
      <c r="AC54">
        <f t="shared" si="88"/>
        <v>2.1333334344691489E-3</v>
      </c>
      <c r="AD54">
        <f t="shared" si="108"/>
        <v>56.326901607587494</v>
      </c>
      <c r="AE54">
        <f t="shared" si="109"/>
        <v>-0.12016415075792966</v>
      </c>
      <c r="AF54">
        <f t="shared" si="110"/>
        <v>225.30770256167287</v>
      </c>
      <c r="AG54">
        <f t="shared" si="111"/>
        <v>-0.30041039825734284</v>
      </c>
      <c r="AH54">
        <f t="shared" si="89"/>
        <v>9.142857222468419E-4</v>
      </c>
      <c r="AI54">
        <f t="shared" si="112"/>
        <v>56.326947384410538</v>
      </c>
      <c r="AJ54">
        <f t="shared" si="113"/>
        <v>-5.14989307219198E-2</v>
      </c>
      <c r="AK54">
        <f t="shared" si="114"/>
        <v>225.30780719441847</v>
      </c>
      <c r="AL54">
        <f t="shared" si="115"/>
        <v>-0.12874732848639728</v>
      </c>
      <c r="AM54">
        <f t="shared" si="90"/>
        <v>2.6666668641975705E-3</v>
      </c>
      <c r="AN54">
        <f t="shared" si="116"/>
        <v>56.32687006450022</v>
      </c>
      <c r="AO54">
        <f t="shared" si="117"/>
        <v>-0.15020517042278672</v>
      </c>
      <c r="AP54">
        <f t="shared" si="118"/>
        <v>225.30763046317685</v>
      </c>
      <c r="AQ54">
        <f t="shared" si="119"/>
        <v>-0.37551296778063453</v>
      </c>
      <c r="AR54">
        <f t="shared" si="91"/>
        <v>1.8285714922604533E-3</v>
      </c>
      <c r="AS54">
        <f t="shared" si="120"/>
        <v>56.32691648505407</v>
      </c>
      <c r="AT54">
        <f t="shared" si="121"/>
        <v>-0.10299784933633566</v>
      </c>
      <c r="AU54">
        <f t="shared" si="122"/>
        <v>225.30773656731418</v>
      </c>
      <c r="AV54">
        <f t="shared" si="123"/>
        <v>-0.25749463679362083</v>
      </c>
    </row>
    <row r="55" spans="1:48" x14ac:dyDescent="0.25">
      <c r="H55">
        <v>5</v>
      </c>
      <c r="I55">
        <f t="shared" si="84"/>
        <v>2.6666667930864362E-3</v>
      </c>
      <c r="J55">
        <f t="shared" si="92"/>
        <v>2.2175939206970137</v>
      </c>
      <c r="K55">
        <f t="shared" si="93"/>
        <v>-5.913589675832844E-3</v>
      </c>
      <c r="L55">
        <f t="shared" si="94"/>
        <v>11.087975911314057</v>
      </c>
      <c r="M55">
        <f t="shared" si="95"/>
        <v>-1.77407707095865E-2</v>
      </c>
      <c r="N55">
        <f t="shared" si="85"/>
        <v>1.1428571528085524E-3</v>
      </c>
      <c r="O55">
        <f t="shared" si="96"/>
        <v>2.217596083381367</v>
      </c>
      <c r="P55">
        <f t="shared" si="97"/>
        <v>-3.2102351055580962E-3</v>
      </c>
      <c r="Q55">
        <f t="shared" si="98"/>
        <v>11.087981472502886</v>
      </c>
      <c r="R55">
        <f t="shared" si="99"/>
        <v>-1.0982383509060339E-2</v>
      </c>
      <c r="S55">
        <f t="shared" si="86"/>
        <v>3.3333335802469633E-3</v>
      </c>
      <c r="T55">
        <f t="shared" si="100"/>
        <v>2.2175923240280904</v>
      </c>
      <c r="U55">
        <f t="shared" si="101"/>
        <v>-7.3919859120729981E-3</v>
      </c>
      <c r="V55">
        <f t="shared" si="102"/>
        <v>11.087971476121666</v>
      </c>
      <c r="W55">
        <f t="shared" si="103"/>
        <v>-2.2175961021546797E-2</v>
      </c>
      <c r="X55">
        <f t="shared" si="87"/>
        <v>2.2857143653255666E-3</v>
      </c>
      <c r="Y55">
        <f t="shared" si="104"/>
        <v>2.2175946737745327</v>
      </c>
      <c r="Z55">
        <f t="shared" si="105"/>
        <v>-5.0687915332295053E-3</v>
      </c>
      <c r="AA55">
        <f t="shared" si="106"/>
        <v>11.087978003196353</v>
      </c>
      <c r="AB55">
        <f t="shared" si="107"/>
        <v>-1.5206375658962611E-2</v>
      </c>
      <c r="AC55">
        <f t="shared" si="88"/>
        <v>2.6666667930864362E-3</v>
      </c>
      <c r="AD55">
        <f t="shared" si="108"/>
        <v>56.32688558570414</v>
      </c>
      <c r="AE55">
        <f t="shared" si="109"/>
        <v>-0.15020517776615422</v>
      </c>
      <c r="AF55">
        <f t="shared" si="110"/>
        <v>281.63458814737703</v>
      </c>
      <c r="AG55">
        <f t="shared" si="111"/>
        <v>-0.45061557602349706</v>
      </c>
      <c r="AH55">
        <f t="shared" si="89"/>
        <v>1.1428571528085524E-3</v>
      </c>
      <c r="AI55">
        <f t="shared" si="112"/>
        <v>56.326944441614614</v>
      </c>
      <c r="AJ55">
        <f t="shared" si="113"/>
        <v>-6.4373662561600875E-2</v>
      </c>
      <c r="AK55">
        <f t="shared" si="114"/>
        <v>281.63475163603312</v>
      </c>
      <c r="AL55">
        <f t="shared" si="115"/>
        <v>-0.19312099104799815</v>
      </c>
      <c r="AM55">
        <f t="shared" si="90"/>
        <v>3.3333335802469633E-3</v>
      </c>
      <c r="AN55">
        <f t="shared" si="116"/>
        <v>56.326845030313493</v>
      </c>
      <c r="AO55">
        <f t="shared" si="117"/>
        <v>-0.18775644216665416</v>
      </c>
      <c r="AP55">
        <f t="shared" si="118"/>
        <v>281.63447549349036</v>
      </c>
      <c r="AQ55">
        <f t="shared" si="119"/>
        <v>-0.56326940994728869</v>
      </c>
      <c r="AR55">
        <f t="shared" si="91"/>
        <v>2.2857143653255666E-3</v>
      </c>
      <c r="AS55">
        <f t="shared" si="120"/>
        <v>56.326904713873134</v>
      </c>
      <c r="AT55">
        <f t="shared" si="121"/>
        <v>-0.12874730494402942</v>
      </c>
      <c r="AU55">
        <f t="shared" si="122"/>
        <v>281.63464128118733</v>
      </c>
      <c r="AV55">
        <f t="shared" si="123"/>
        <v>-0.38624194173765025</v>
      </c>
    </row>
    <row r="56" spans="1:48" x14ac:dyDescent="0.25">
      <c r="H56">
        <v>6</v>
      </c>
      <c r="I56">
        <f t="shared" si="84"/>
        <v>3.2000001517037231E-3</v>
      </c>
      <c r="J56">
        <f t="shared" si="92"/>
        <v>2.2175932899142947</v>
      </c>
      <c r="K56">
        <f t="shared" si="93"/>
        <v>-7.0963071063731061E-3</v>
      </c>
      <c r="L56">
        <f t="shared" si="94"/>
        <v>13.305569201228352</v>
      </c>
      <c r="M56">
        <f t="shared" si="95"/>
        <v>-2.4837077815959605E-2</v>
      </c>
      <c r="N56">
        <f t="shared" si="85"/>
        <v>1.3714285833702627E-3</v>
      </c>
      <c r="O56">
        <f t="shared" si="96"/>
        <v>2.2175959675232666</v>
      </c>
      <c r="P56">
        <f t="shared" si="97"/>
        <v>-3.7171142809492579E-3</v>
      </c>
      <c r="Q56">
        <f t="shared" si="98"/>
        <v>13.305577440026152</v>
      </c>
      <c r="R56">
        <f t="shared" si="99"/>
        <v>-1.4699497790009597E-2</v>
      </c>
      <c r="S56">
        <f t="shared" si="86"/>
        <v>4.0000002962963556E-3</v>
      </c>
      <c r="T56">
        <f t="shared" si="100"/>
        <v>2.2175913384304069</v>
      </c>
      <c r="U56">
        <f t="shared" si="101"/>
        <v>-8.8703821088895133E-3</v>
      </c>
      <c r="V56">
        <f t="shared" si="102"/>
        <v>13.305562814552072</v>
      </c>
      <c r="W56">
        <f t="shared" si="103"/>
        <v>-3.1046343130436312E-2</v>
      </c>
      <c r="X56">
        <f t="shared" si="87"/>
        <v>2.74285723839068E-3</v>
      </c>
      <c r="Y56">
        <f t="shared" si="104"/>
        <v>2.217594210342261</v>
      </c>
      <c r="Z56">
        <f t="shared" si="105"/>
        <v>-6.0825495220932155E-3</v>
      </c>
      <c r="AA56">
        <f t="shared" si="106"/>
        <v>13.305572213538614</v>
      </c>
      <c r="AB56">
        <f t="shared" si="107"/>
        <v>-2.1288925181055827E-2</v>
      </c>
      <c r="AC56">
        <f t="shared" si="88"/>
        <v>3.2000001517037231E-3</v>
      </c>
      <c r="AD56">
        <f t="shared" si="108"/>
        <v>56.326869563823074</v>
      </c>
      <c r="AE56">
        <f t="shared" si="109"/>
        <v>-0.18024620050187684</v>
      </c>
      <c r="AF56">
        <f t="shared" si="110"/>
        <v>337.96145771120013</v>
      </c>
      <c r="AG56">
        <f t="shared" si="111"/>
        <v>-0.6308617765253739</v>
      </c>
      <c r="AH56">
        <f t="shared" si="89"/>
        <v>1.3714285833702627E-3</v>
      </c>
      <c r="AI56">
        <f t="shared" si="112"/>
        <v>56.326941498818762</v>
      </c>
      <c r="AJ56">
        <f t="shared" si="113"/>
        <v>-7.7248394064962422E-2</v>
      </c>
      <c r="AK56">
        <f t="shared" si="114"/>
        <v>337.96169313485188</v>
      </c>
      <c r="AL56">
        <f t="shared" si="115"/>
        <v>-0.2703693851129606</v>
      </c>
      <c r="AM56">
        <f t="shared" si="90"/>
        <v>4.0000002962963556E-3</v>
      </c>
      <c r="AN56">
        <f t="shared" si="116"/>
        <v>56.326819996132329</v>
      </c>
      <c r="AO56">
        <f t="shared" si="117"/>
        <v>-0.22530770556579363</v>
      </c>
      <c r="AP56">
        <f t="shared" si="118"/>
        <v>337.96129548962267</v>
      </c>
      <c r="AQ56">
        <f t="shared" si="119"/>
        <v>-0.78857711551308229</v>
      </c>
      <c r="AR56">
        <f t="shared" si="91"/>
        <v>2.74285723839068E-3</v>
      </c>
      <c r="AS56">
        <f t="shared" si="120"/>
        <v>56.326892942693426</v>
      </c>
      <c r="AT56">
        <f t="shared" si="121"/>
        <v>-0.15449675786116768</v>
      </c>
      <c r="AU56">
        <f t="shared" si="122"/>
        <v>337.96153422388073</v>
      </c>
      <c r="AV56">
        <f t="shared" si="123"/>
        <v>-0.54073869959881793</v>
      </c>
    </row>
    <row r="57" spans="1:48" x14ac:dyDescent="0.25">
      <c r="H57">
        <v>7</v>
      </c>
      <c r="I57" t="str">
        <f t="shared" ref="I57:I60" si="124">IF($H57&lt;=$C$12,$H57*MIN($C$36,$C$44)+$I$47,"")</f>
        <v/>
      </c>
      <c r="J57" t="str">
        <f t="shared" ref="J57:J60" si="125">IF($H57&lt;=$C$12,$C$4*COS($C$10)*COS(MIN($C$36,$C$44))+K56*SIN(MIN($C$36,$C$44)),"")</f>
        <v/>
      </c>
      <c r="K57" t="str">
        <f t="shared" si="93"/>
        <v/>
      </c>
      <c r="L57" t="str">
        <f t="shared" ref="L57:L60" si="126">IF($H57&lt;=$C$12,L56+J57,"")</f>
        <v/>
      </c>
      <c r="M57" t="str">
        <f t="shared" ref="M57:M60" si="127">IF($H57&lt;=$C$12,M56+K57,"")</f>
        <v/>
      </c>
      <c r="N57" t="str">
        <f t="shared" ref="N57:N60" si="128">IF($H57&lt;=$C$12,$H57*MIN($C$36,$C$45)+$I$47,"")</f>
        <v/>
      </c>
      <c r="O57" t="str">
        <f t="shared" ref="O57:O60" si="129">IF($H57&lt;=$C$12,$C$4*COS($C$10)*COS(MIN($C$36,$C$45))+P56*SIN(MIN($C$36,$C$45)),"")</f>
        <v/>
      </c>
      <c r="P57" t="str">
        <f t="shared" si="97"/>
        <v/>
      </c>
      <c r="Q57" t="str">
        <f t="shared" ref="Q57:Q60" si="130">IF($H57&lt;=$C$12,Q56+O57,"")</f>
        <v/>
      </c>
      <c r="R57" t="str">
        <f t="shared" ref="R57:R60" si="131">IF($H57&lt;=$C$12,R56+P57,"")</f>
        <v/>
      </c>
      <c r="S57" t="str">
        <f t="shared" ref="S57:S60" si="132">IF($H57&lt;=$C$12,$H57*MIN($C$36,$C$46)+$I$47,"")</f>
        <v/>
      </c>
      <c r="T57" t="str">
        <f t="shared" ref="T57:T60" si="133">IF($H57&lt;=$C$12,$C$4*COS($C$10)*COS(MIN($C$36,$C$46))+U56*SIN(MIN($C$36,$C$46)),"")</f>
        <v/>
      </c>
      <c r="U57" t="str">
        <f t="shared" si="101"/>
        <v/>
      </c>
      <c r="V57" t="str">
        <f t="shared" ref="V57:V60" si="134">IF($H57&lt;=$C$12,V56+T57,"")</f>
        <v/>
      </c>
      <c r="W57" t="str">
        <f t="shared" ref="W57:W60" si="135">IF($H57&lt;=$C$12,W56+U57,"")</f>
        <v/>
      </c>
      <c r="X57" t="str">
        <f t="shared" ref="X57:X60" si="136">IF($H57&lt;=$C$12,$H57*MIN($C$36,$C$47)+$I$47,"")</f>
        <v/>
      </c>
      <c r="Y57" t="str">
        <f t="shared" ref="Y57:Y60" si="137">IF($H57&lt;=$C$12,$C$4*COS($C$10)*COS(MIN($C$36,$C$47))+Z56*SIN(MIN($C$36,$C$47)),"")</f>
        <v/>
      </c>
      <c r="Z57" t="str">
        <f t="shared" si="105"/>
        <v/>
      </c>
      <c r="AA57" t="str">
        <f t="shared" ref="AA57:AA60" si="138">IF($H57&lt;=$C$12,AA56+Y57,"")</f>
        <v/>
      </c>
      <c r="AB57" t="str">
        <f t="shared" ref="AB57:AB60" si="139">IF($H57&lt;=$C$12,AB56+Z57,"")</f>
        <v/>
      </c>
      <c r="AC57" t="str">
        <f t="shared" ref="AC57:AC60" si="140">IF($H57&lt;=$C$12,$H57*MIN($C$36,$C$44)+$I$47,"")</f>
        <v/>
      </c>
      <c r="AD57" t="str">
        <f t="shared" ref="AD57:AD60" si="141">IF($H57&lt;=$C$12,$E$4*COS($C$10)*COS(MIN($C$36,$C$44))+AE56*SIN(MIN($C$36,$C$44)),"")</f>
        <v/>
      </c>
      <c r="AE57" t="str">
        <f t="shared" si="109"/>
        <v/>
      </c>
      <c r="AF57" t="str">
        <f t="shared" ref="AF57:AF60" si="142">IF($H57&lt;=$C$12,AF56+AD57,"")</f>
        <v/>
      </c>
      <c r="AG57" t="str">
        <f t="shared" ref="AG57:AG60" si="143">IF($H57&lt;=$C$12,AG56+AE57,"")</f>
        <v/>
      </c>
      <c r="AH57" t="str">
        <f t="shared" ref="AH57:AH60" si="144">IF($H57&lt;=$C$12,$H57*MIN($C$36,$C$45)+$I$47,"")</f>
        <v/>
      </c>
      <c r="AI57" t="str">
        <f t="shared" ref="AI57:AI60" si="145">IF($H57&lt;=$C$12,$E$4*COS($C$10)*COS(MIN($C$36,$C$45))+AJ56*SIN(MIN($C$36,$C$45)),"")</f>
        <v/>
      </c>
      <c r="AJ57" t="str">
        <f t="shared" si="113"/>
        <v/>
      </c>
      <c r="AK57" t="str">
        <f t="shared" ref="AK57:AK60" si="146">IF($H57&lt;=$C$12,AK56+AI57,"")</f>
        <v/>
      </c>
      <c r="AL57" t="str">
        <f t="shared" ref="AL57:AL60" si="147">IF($H57&lt;=$C$12,AL56+AJ57,"")</f>
        <v/>
      </c>
      <c r="AM57" t="str">
        <f t="shared" ref="AM57:AM60" si="148">IF($H57&lt;=$C$12,$H57*MIN($C$36,$C$46)+$I$47,"")</f>
        <v/>
      </c>
      <c r="AN57" t="str">
        <f t="shared" ref="AN57:AN60" si="149">IF($H57&lt;=$C$12,$E$4*COS($C$10)*COS(MIN($C$36,$C$46))+AO56*SIN(MIN($C$36,$C$46)),"")</f>
        <v/>
      </c>
      <c r="AO57" t="str">
        <f t="shared" si="117"/>
        <v/>
      </c>
      <c r="AP57" t="str">
        <f t="shared" ref="AP57:AP60" si="150">IF($H57&lt;=$C$12,AP56+AN57,"")</f>
        <v/>
      </c>
      <c r="AQ57" t="str">
        <f t="shared" ref="AQ57:AQ60" si="151">IF($H57&lt;=$C$12,AQ56+AO57,"")</f>
        <v/>
      </c>
      <c r="AR57" t="str">
        <f t="shared" ref="AR57:AR60" si="152">IF($H57&lt;=$C$12,$H57*MIN($C$36,$C$47)+$I$47,"")</f>
        <v/>
      </c>
      <c r="AS57" t="str">
        <f t="shared" ref="AS57:AS60" si="153">IF($H57&lt;=$C$12,$E$4*COS($C$10)*COS(MIN($C$36,$C$47))+AT56*SIN(MIN($C$36,$C$47)),"")</f>
        <v/>
      </c>
      <c r="AT57" t="str">
        <f t="shared" si="121"/>
        <v/>
      </c>
      <c r="AU57" t="str">
        <f t="shared" ref="AU57:AU60" si="154">IF($H57&lt;=$C$12,AU56+AS57,"")</f>
        <v/>
      </c>
      <c r="AV57" t="str">
        <f t="shared" ref="AV57:AV60" si="155">IF($H57&lt;=$C$12,AV56+AT57,"")</f>
        <v/>
      </c>
    </row>
    <row r="58" spans="1:48" ht="15.75" x14ac:dyDescent="0.25">
      <c r="A58" s="25" t="s">
        <v>77</v>
      </c>
      <c r="B58" s="1"/>
      <c r="C58" s="1"/>
      <c r="D58" s="1"/>
      <c r="E58" s="1"/>
      <c r="F58" s="1"/>
      <c r="G58" s="26"/>
      <c r="H58">
        <v>8</v>
      </c>
      <c r="I58" t="str">
        <f t="shared" si="124"/>
        <v/>
      </c>
      <c r="J58" t="str">
        <f t="shared" si="125"/>
        <v/>
      </c>
      <c r="K58" t="str">
        <f t="shared" si="93"/>
        <v/>
      </c>
      <c r="L58" t="str">
        <f t="shared" si="126"/>
        <v/>
      </c>
      <c r="M58" t="str">
        <f t="shared" si="127"/>
        <v/>
      </c>
      <c r="N58" t="str">
        <f t="shared" si="128"/>
        <v/>
      </c>
      <c r="O58" t="str">
        <f t="shared" si="129"/>
        <v/>
      </c>
      <c r="P58" t="str">
        <f t="shared" si="97"/>
        <v/>
      </c>
      <c r="Q58" t="str">
        <f t="shared" si="130"/>
        <v/>
      </c>
      <c r="R58" t="str">
        <f t="shared" si="131"/>
        <v/>
      </c>
      <c r="S58" t="str">
        <f t="shared" si="132"/>
        <v/>
      </c>
      <c r="T58" t="str">
        <f t="shared" si="133"/>
        <v/>
      </c>
      <c r="U58" t="str">
        <f t="shared" si="101"/>
        <v/>
      </c>
      <c r="V58" t="str">
        <f t="shared" si="134"/>
        <v/>
      </c>
      <c r="W58" t="str">
        <f t="shared" si="135"/>
        <v/>
      </c>
      <c r="X58" t="str">
        <f t="shared" si="136"/>
        <v/>
      </c>
      <c r="Y58" t="str">
        <f t="shared" si="137"/>
        <v/>
      </c>
      <c r="Z58" t="str">
        <f t="shared" si="105"/>
        <v/>
      </c>
      <c r="AA58" t="str">
        <f t="shared" si="138"/>
        <v/>
      </c>
      <c r="AB58" t="str">
        <f t="shared" si="139"/>
        <v/>
      </c>
      <c r="AC58" t="str">
        <f t="shared" si="140"/>
        <v/>
      </c>
      <c r="AD58" t="str">
        <f t="shared" si="141"/>
        <v/>
      </c>
      <c r="AE58" t="str">
        <f t="shared" si="109"/>
        <v/>
      </c>
      <c r="AF58" t="str">
        <f t="shared" si="142"/>
        <v/>
      </c>
      <c r="AG58" t="str">
        <f t="shared" si="143"/>
        <v/>
      </c>
      <c r="AH58" t="str">
        <f t="shared" si="144"/>
        <v/>
      </c>
      <c r="AI58" t="str">
        <f t="shared" si="145"/>
        <v/>
      </c>
      <c r="AJ58" t="str">
        <f t="shared" si="113"/>
        <v/>
      </c>
      <c r="AK58" t="str">
        <f t="shared" si="146"/>
        <v/>
      </c>
      <c r="AL58" t="str">
        <f t="shared" si="147"/>
        <v/>
      </c>
      <c r="AM58" t="str">
        <f t="shared" si="148"/>
        <v/>
      </c>
      <c r="AN58" t="str">
        <f t="shared" si="149"/>
        <v/>
      </c>
      <c r="AO58" t="str">
        <f t="shared" si="117"/>
        <v/>
      </c>
      <c r="AP58" t="str">
        <f t="shared" si="150"/>
        <v/>
      </c>
      <c r="AQ58" t="str">
        <f t="shared" si="151"/>
        <v/>
      </c>
      <c r="AR58" t="str">
        <f t="shared" si="152"/>
        <v/>
      </c>
      <c r="AS58" t="str">
        <f t="shared" si="153"/>
        <v/>
      </c>
      <c r="AT58" t="str">
        <f t="shared" si="121"/>
        <v/>
      </c>
      <c r="AU58" t="str">
        <f t="shared" si="154"/>
        <v/>
      </c>
      <c r="AV58" t="str">
        <f t="shared" si="155"/>
        <v/>
      </c>
    </row>
    <row r="59" spans="1:48" x14ac:dyDescent="0.25">
      <c r="A59" s="14" t="s">
        <v>104</v>
      </c>
      <c r="C59" s="27">
        <f>C5</f>
        <v>0.375</v>
      </c>
      <c r="D59" s="5" t="s">
        <v>1</v>
      </c>
      <c r="E59" s="5">
        <f t="shared" ref="E59:E62" si="156">IFERROR(C59*25.4,0)</f>
        <v>9.5249999999999986</v>
      </c>
      <c r="F59" s="27" t="s">
        <v>2</v>
      </c>
      <c r="G59" s="26"/>
      <c r="H59">
        <v>9</v>
      </c>
      <c r="I59" t="str">
        <f t="shared" si="124"/>
        <v/>
      </c>
      <c r="J59" t="str">
        <f t="shared" si="125"/>
        <v/>
      </c>
      <c r="K59" t="str">
        <f t="shared" si="93"/>
        <v/>
      </c>
      <c r="L59" t="str">
        <f t="shared" si="126"/>
        <v/>
      </c>
      <c r="M59" t="str">
        <f t="shared" si="127"/>
        <v/>
      </c>
      <c r="N59" t="str">
        <f t="shared" si="128"/>
        <v/>
      </c>
      <c r="O59" t="str">
        <f t="shared" si="129"/>
        <v/>
      </c>
      <c r="P59" t="str">
        <f t="shared" si="97"/>
        <v/>
      </c>
      <c r="Q59" t="str">
        <f t="shared" si="130"/>
        <v/>
      </c>
      <c r="R59" t="str">
        <f t="shared" si="131"/>
        <v/>
      </c>
      <c r="S59" t="str">
        <f t="shared" si="132"/>
        <v/>
      </c>
      <c r="T59" t="str">
        <f t="shared" si="133"/>
        <v/>
      </c>
      <c r="U59" t="str">
        <f t="shared" si="101"/>
        <v/>
      </c>
      <c r="V59" t="str">
        <f t="shared" si="134"/>
        <v/>
      </c>
      <c r="W59" t="str">
        <f t="shared" si="135"/>
        <v/>
      </c>
      <c r="X59" t="str">
        <f t="shared" si="136"/>
        <v/>
      </c>
      <c r="Y59" t="str">
        <f t="shared" si="137"/>
        <v/>
      </c>
      <c r="Z59" t="str">
        <f t="shared" si="105"/>
        <v/>
      </c>
      <c r="AA59" t="str">
        <f t="shared" si="138"/>
        <v/>
      </c>
      <c r="AB59" t="str">
        <f t="shared" si="139"/>
        <v/>
      </c>
      <c r="AC59" t="str">
        <f t="shared" si="140"/>
        <v/>
      </c>
      <c r="AD59" t="str">
        <f t="shared" si="141"/>
        <v/>
      </c>
      <c r="AE59" t="str">
        <f t="shared" si="109"/>
        <v/>
      </c>
      <c r="AF59" t="str">
        <f t="shared" si="142"/>
        <v/>
      </c>
      <c r="AG59" t="str">
        <f t="shared" si="143"/>
        <v/>
      </c>
      <c r="AH59" t="str">
        <f t="shared" si="144"/>
        <v/>
      </c>
      <c r="AI59" t="str">
        <f t="shared" si="145"/>
        <v/>
      </c>
      <c r="AJ59" t="str">
        <f t="shared" si="113"/>
        <v/>
      </c>
      <c r="AK59" t="str">
        <f t="shared" si="146"/>
        <v/>
      </c>
      <c r="AL59" t="str">
        <f t="shared" si="147"/>
        <v/>
      </c>
      <c r="AM59" t="str">
        <f t="shared" si="148"/>
        <v/>
      </c>
      <c r="AN59" t="str">
        <f t="shared" si="149"/>
        <v/>
      </c>
      <c r="AO59" t="str">
        <f t="shared" si="117"/>
        <v/>
      </c>
      <c r="AP59" t="str">
        <f t="shared" si="150"/>
        <v/>
      </c>
      <c r="AQ59" t="str">
        <f t="shared" si="151"/>
        <v/>
      </c>
      <c r="AR59" t="str">
        <f t="shared" si="152"/>
        <v/>
      </c>
      <c r="AS59" t="str">
        <f t="shared" si="153"/>
        <v/>
      </c>
      <c r="AT59" t="str">
        <f t="shared" si="121"/>
        <v/>
      </c>
      <c r="AU59" t="str">
        <f t="shared" si="154"/>
        <v/>
      </c>
      <c r="AV59" t="str">
        <f t="shared" si="155"/>
        <v/>
      </c>
    </row>
    <row r="60" spans="1:48" x14ac:dyDescent="0.25">
      <c r="A60" s="14" t="s">
        <v>105</v>
      </c>
      <c r="C60" s="27">
        <f>MIN(C29:C31)</f>
        <v>0.375</v>
      </c>
      <c r="D60" s="5" t="s">
        <v>1</v>
      </c>
      <c r="E60" s="5">
        <f t="shared" si="156"/>
        <v>9.5249999999999986</v>
      </c>
      <c r="F60" s="27" t="s">
        <v>2</v>
      </c>
      <c r="G60" s="26"/>
      <c r="H60">
        <v>10</v>
      </c>
      <c r="I60" t="str">
        <f t="shared" si="124"/>
        <v/>
      </c>
      <c r="J60" t="str">
        <f t="shared" si="125"/>
        <v/>
      </c>
      <c r="K60" t="str">
        <f t="shared" si="93"/>
        <v/>
      </c>
      <c r="L60" t="str">
        <f t="shared" si="126"/>
        <v/>
      </c>
      <c r="M60" t="str">
        <f t="shared" si="127"/>
        <v/>
      </c>
      <c r="N60" t="str">
        <f t="shared" si="128"/>
        <v/>
      </c>
      <c r="O60" t="str">
        <f t="shared" si="129"/>
        <v/>
      </c>
      <c r="P60" t="str">
        <f t="shared" si="97"/>
        <v/>
      </c>
      <c r="Q60" t="str">
        <f t="shared" si="130"/>
        <v/>
      </c>
      <c r="R60" t="str">
        <f t="shared" si="131"/>
        <v/>
      </c>
      <c r="S60" t="str">
        <f t="shared" si="132"/>
        <v/>
      </c>
      <c r="T60" t="str">
        <f t="shared" si="133"/>
        <v/>
      </c>
      <c r="U60" t="str">
        <f t="shared" si="101"/>
        <v/>
      </c>
      <c r="V60" t="str">
        <f t="shared" si="134"/>
        <v/>
      </c>
      <c r="W60" t="str">
        <f t="shared" si="135"/>
        <v/>
      </c>
      <c r="X60" t="str">
        <f t="shared" si="136"/>
        <v/>
      </c>
      <c r="Y60" t="str">
        <f t="shared" si="137"/>
        <v/>
      </c>
      <c r="Z60" t="str">
        <f t="shared" si="105"/>
        <v/>
      </c>
      <c r="AA60" t="str">
        <f t="shared" si="138"/>
        <v/>
      </c>
      <c r="AB60" t="str">
        <f t="shared" si="139"/>
        <v/>
      </c>
      <c r="AC60" t="str">
        <f t="shared" si="140"/>
        <v/>
      </c>
      <c r="AD60" t="str">
        <f t="shared" si="141"/>
        <v/>
      </c>
      <c r="AE60" t="str">
        <f t="shared" si="109"/>
        <v/>
      </c>
      <c r="AF60" t="str">
        <f t="shared" si="142"/>
        <v/>
      </c>
      <c r="AG60" t="str">
        <f t="shared" si="143"/>
        <v/>
      </c>
      <c r="AH60" t="str">
        <f t="shared" si="144"/>
        <v/>
      </c>
      <c r="AI60" t="str">
        <f t="shared" si="145"/>
        <v/>
      </c>
      <c r="AJ60" t="str">
        <f t="shared" si="113"/>
        <v/>
      </c>
      <c r="AK60" t="str">
        <f t="shared" si="146"/>
        <v/>
      </c>
      <c r="AL60" t="str">
        <f t="shared" si="147"/>
        <v/>
      </c>
      <c r="AM60" t="str">
        <f t="shared" si="148"/>
        <v/>
      </c>
      <c r="AN60" t="str">
        <f t="shared" si="149"/>
        <v/>
      </c>
      <c r="AO60" t="str">
        <f t="shared" si="117"/>
        <v/>
      </c>
      <c r="AP60" t="str">
        <f t="shared" si="150"/>
        <v/>
      </c>
      <c r="AQ60" t="str">
        <f t="shared" si="151"/>
        <v/>
      </c>
      <c r="AR60" t="str">
        <f t="shared" si="152"/>
        <v/>
      </c>
      <c r="AS60" t="str">
        <f t="shared" si="153"/>
        <v/>
      </c>
      <c r="AT60" t="str">
        <f t="shared" si="121"/>
        <v/>
      </c>
      <c r="AU60" t="str">
        <f t="shared" si="154"/>
        <v/>
      </c>
      <c r="AV60" t="str">
        <f t="shared" si="155"/>
        <v/>
      </c>
    </row>
    <row r="61" spans="1:48" x14ac:dyDescent="0.25">
      <c r="A61" s="14" t="s">
        <v>78</v>
      </c>
      <c r="C61" s="27">
        <f>C59*C60^3/12</f>
        <v>1.64794921875E-3</v>
      </c>
      <c r="D61" s="5" t="s">
        <v>79</v>
      </c>
      <c r="E61" s="27">
        <f>E59*E60^3/12</f>
        <v>685.92825263671841</v>
      </c>
      <c r="F61" s="27" t="s">
        <v>80</v>
      </c>
      <c r="G61" s="26"/>
      <c r="H61" s="28"/>
      <c r="I61" s="26"/>
    </row>
    <row r="62" spans="1:48" x14ac:dyDescent="0.25">
      <c r="A62" s="14" t="s">
        <v>81</v>
      </c>
      <c r="C62" s="29">
        <f>C4</f>
        <v>2.25</v>
      </c>
      <c r="D62" s="1" t="s">
        <v>1</v>
      </c>
      <c r="E62" s="1">
        <f t="shared" si="156"/>
        <v>57.15</v>
      </c>
      <c r="F62" s="29" t="s">
        <v>2</v>
      </c>
      <c r="G62" s="28"/>
      <c r="H62" s="1"/>
      <c r="I62" s="1"/>
    </row>
    <row r="63" spans="1:48" ht="15.75" x14ac:dyDescent="0.25">
      <c r="A63" s="30" t="s">
        <v>82</v>
      </c>
      <c r="B63" s="39"/>
      <c r="C63" s="31">
        <f>E63*2.20462/9.80665</f>
        <v>11.240433787277</v>
      </c>
      <c r="D63" s="31" t="s">
        <v>106</v>
      </c>
      <c r="E63" s="32">
        <v>50</v>
      </c>
      <c r="F63" s="32" t="s">
        <v>9</v>
      </c>
      <c r="G63" s="33"/>
      <c r="H63" s="33"/>
      <c r="I63" s="26"/>
      <c r="P63" s="47" t="s">
        <v>123</v>
      </c>
    </row>
    <row r="64" spans="1:48" x14ac:dyDescent="0.25">
      <c r="A64" s="14" t="s">
        <v>83</v>
      </c>
      <c r="C64" s="34"/>
      <c r="D64" s="34"/>
      <c r="E64" s="29">
        <f>68900</f>
        <v>68900</v>
      </c>
      <c r="F64" s="29" t="s">
        <v>84</v>
      </c>
      <c r="G64" s="28"/>
      <c r="H64" s="28"/>
      <c r="I64" s="26"/>
      <c r="P64" s="14" t="s">
        <v>122</v>
      </c>
      <c r="Q64" s="14"/>
      <c r="R64" s="14">
        <v>20</v>
      </c>
      <c r="S64" s="14" t="s">
        <v>9</v>
      </c>
    </row>
    <row r="65" spans="1:21" x14ac:dyDescent="0.25">
      <c r="A65" s="14" t="s">
        <v>85</v>
      </c>
      <c r="C65" s="34"/>
      <c r="D65" s="34"/>
      <c r="E65" s="29">
        <f>2700/10^9</f>
        <v>2.7E-6</v>
      </c>
      <c r="F65" s="29" t="s">
        <v>86</v>
      </c>
      <c r="G65" s="1"/>
      <c r="H65" s="1"/>
      <c r="I65" s="26"/>
      <c r="P65" t="s">
        <v>124</v>
      </c>
      <c r="R65">
        <v>5</v>
      </c>
      <c r="S65" t="s">
        <v>2</v>
      </c>
    </row>
    <row r="66" spans="1:21" x14ac:dyDescent="0.25">
      <c r="A66" s="14" t="s">
        <v>87</v>
      </c>
      <c r="C66" s="34"/>
      <c r="D66" s="34"/>
      <c r="E66" s="27">
        <f>3*E64*E61/E62^3</f>
        <v>759.57465277777749</v>
      </c>
      <c r="F66" s="27" t="s">
        <v>88</v>
      </c>
      <c r="G66" s="27">
        <f>E66/10^3</f>
        <v>0.75957465277777747</v>
      </c>
      <c r="H66" s="27" t="s">
        <v>89</v>
      </c>
      <c r="I66" s="26"/>
      <c r="P66" t="s">
        <v>125</v>
      </c>
      <c r="R66">
        <v>30</v>
      </c>
      <c r="S66" t="s">
        <v>2</v>
      </c>
    </row>
    <row r="67" spans="1:21" x14ac:dyDescent="0.25">
      <c r="A67" s="14" t="s">
        <v>90</v>
      </c>
      <c r="C67" s="8">
        <f>E67/25.4</f>
        <v>2.5915871860771309E-3</v>
      </c>
      <c r="D67" s="8" t="s">
        <v>1</v>
      </c>
      <c r="E67" s="35">
        <f>E63/E66</f>
        <v>6.582631452635912E-2</v>
      </c>
      <c r="F67" s="36" t="s">
        <v>2</v>
      </c>
      <c r="G67" s="36">
        <f>E67*10^3</f>
        <v>65.826314526359113</v>
      </c>
      <c r="H67" s="36" t="s">
        <v>91</v>
      </c>
      <c r="I67" s="26" t="s">
        <v>92</v>
      </c>
      <c r="P67" t="s">
        <v>126</v>
      </c>
      <c r="R67">
        <v>4.76</v>
      </c>
      <c r="S67" t="s">
        <v>2</v>
      </c>
    </row>
    <row r="68" spans="1:21" x14ac:dyDescent="0.25">
      <c r="A68" s="14" t="s">
        <v>93</v>
      </c>
      <c r="C68" s="5">
        <f>E68*2.2</f>
        <v>3.0798718644374987E-2</v>
      </c>
      <c r="D68" s="5" t="s">
        <v>94</v>
      </c>
      <c r="E68" s="5">
        <f>E65*E59*E60*E62</f>
        <v>1.3999417565624993E-2</v>
      </c>
      <c r="F68" s="5" t="s">
        <v>95</v>
      </c>
      <c r="G68" s="1"/>
      <c r="H68" s="1"/>
      <c r="I68" s="26"/>
      <c r="P68" t="s">
        <v>129</v>
      </c>
      <c r="R68">
        <v>68900</v>
      </c>
      <c r="S68" t="s">
        <v>117</v>
      </c>
    </row>
    <row r="69" spans="1:21" x14ac:dyDescent="0.25">
      <c r="A69" s="30" t="s">
        <v>96</v>
      </c>
      <c r="B69" s="39"/>
      <c r="C69" s="31"/>
      <c r="D69" s="31"/>
      <c r="E69" s="37">
        <f>(1/(2*PI()))*SQRT(E66*1000/(E68))</f>
        <v>1172.3313523553325</v>
      </c>
      <c r="F69" s="38" t="s">
        <v>97</v>
      </c>
      <c r="G69" s="33"/>
      <c r="H69" s="33"/>
      <c r="I69" s="26"/>
      <c r="P69" t="s">
        <v>130</v>
      </c>
      <c r="R69" s="2">
        <f>R65*R67^3/12</f>
        <v>44.937573333333326</v>
      </c>
      <c r="S69" s="2" t="s">
        <v>80</v>
      </c>
    </row>
    <row r="70" spans="1:21" x14ac:dyDescent="0.25">
      <c r="A70" s="14" t="s">
        <v>98</v>
      </c>
      <c r="C70" s="34"/>
      <c r="D70" s="34"/>
      <c r="E70" s="29">
        <f>200*10^3</f>
        <v>200000</v>
      </c>
      <c r="F70" s="29" t="s">
        <v>84</v>
      </c>
      <c r="G70" s="28"/>
      <c r="H70" s="28"/>
      <c r="I70" s="26"/>
      <c r="P70" t="s">
        <v>127</v>
      </c>
      <c r="R70" s="2">
        <f>R64*R66^3/(48*R68*R69)</f>
        <v>3.6334876140093788E-3</v>
      </c>
      <c r="S70" s="2" t="s">
        <v>2</v>
      </c>
    </row>
    <row r="71" spans="1:21" x14ac:dyDescent="0.25">
      <c r="A71" s="14" t="s">
        <v>99</v>
      </c>
      <c r="C71" s="34"/>
      <c r="D71" s="34"/>
      <c r="E71" s="29">
        <f>8000/10^9</f>
        <v>7.9999999999999996E-6</v>
      </c>
      <c r="F71" s="29" t="s">
        <v>86</v>
      </c>
      <c r="G71" s="1"/>
      <c r="H71" s="1"/>
      <c r="I71" s="26"/>
      <c r="P71" t="s">
        <v>128</v>
      </c>
      <c r="R71">
        <v>28.6</v>
      </c>
      <c r="S71" t="s">
        <v>2</v>
      </c>
    </row>
    <row r="72" spans="1:21" x14ac:dyDescent="0.25">
      <c r="A72" s="14" t="s">
        <v>100</v>
      </c>
      <c r="C72" s="34"/>
      <c r="D72" s="34"/>
      <c r="E72" s="27">
        <f>3*E70*E61/E62^3</f>
        <v>2204.8611111111104</v>
      </c>
      <c r="F72" s="27" t="s">
        <v>88</v>
      </c>
      <c r="G72" s="27">
        <f>E72/10^3</f>
        <v>2.2048611111111103</v>
      </c>
      <c r="H72" s="27" t="s">
        <v>89</v>
      </c>
      <c r="I72" s="26" t="s">
        <v>92</v>
      </c>
      <c r="P72" s="14" t="s">
        <v>131</v>
      </c>
      <c r="Q72" s="14"/>
      <c r="R72" s="6">
        <f>ATAN(R70/R71)</f>
        <v>1.2704502078533867E-4</v>
      </c>
      <c r="S72" s="6" t="s">
        <v>13</v>
      </c>
      <c r="T72" s="6">
        <f>DEGREES(R72)</f>
        <v>7.2791434991517252E-3</v>
      </c>
      <c r="U72" s="6" t="s">
        <v>12</v>
      </c>
    </row>
    <row r="73" spans="1:21" x14ac:dyDescent="0.25">
      <c r="A73" s="14" t="s">
        <v>101</v>
      </c>
      <c r="C73" s="8">
        <f>E73/25.4</f>
        <v>8.928017856035716E-4</v>
      </c>
      <c r="D73" s="8" t="s">
        <v>1</v>
      </c>
      <c r="E73" s="35">
        <f>E63/E72</f>
        <v>2.2677165354330717E-2</v>
      </c>
      <c r="F73" s="35" t="s">
        <v>2</v>
      </c>
      <c r="G73" s="36">
        <f>E73*10^3</f>
        <v>22.677165354330718</v>
      </c>
      <c r="H73" s="36" t="s">
        <v>91</v>
      </c>
      <c r="I73" s="26"/>
      <c r="R73" s="2"/>
      <c r="S73" s="2"/>
      <c r="T73" s="2"/>
      <c r="U73" s="2"/>
    </row>
    <row r="74" spans="1:21" x14ac:dyDescent="0.25">
      <c r="A74" s="14" t="s">
        <v>102</v>
      </c>
      <c r="C74" s="5">
        <f>E74*2.2</f>
        <v>9.125546264999998E-2</v>
      </c>
      <c r="D74" s="5" t="s">
        <v>94</v>
      </c>
      <c r="E74" s="5">
        <f>E71*E59*E60*E62</f>
        <v>4.1479755749999986E-2</v>
      </c>
      <c r="F74" s="5" t="s">
        <v>95</v>
      </c>
      <c r="G74" s="28"/>
      <c r="H74" s="28"/>
      <c r="I74" s="26"/>
      <c r="P74" s="14"/>
      <c r="Q74" s="14"/>
      <c r="R74" s="6"/>
      <c r="S74" s="6"/>
      <c r="T74" s="2"/>
      <c r="U74" s="2"/>
    </row>
    <row r="75" spans="1:21" x14ac:dyDescent="0.25">
      <c r="A75" s="14" t="s">
        <v>103</v>
      </c>
      <c r="C75" s="34"/>
      <c r="D75" s="34"/>
      <c r="E75" s="40">
        <f>(1/(2*PI()))*SQRT(E72*1000/(E74))</f>
        <v>1160.3597484098525</v>
      </c>
      <c r="F75" s="27" t="s">
        <v>97</v>
      </c>
      <c r="G75" s="28"/>
      <c r="H75" s="28"/>
      <c r="I75" s="26"/>
    </row>
    <row r="81" spans="5:6" x14ac:dyDescent="0.25">
      <c r="E81" s="1"/>
      <c r="F81" s="1"/>
    </row>
    <row r="82" spans="5:6" x14ac:dyDescent="0.25">
      <c r="E82" s="1"/>
      <c r="F82" s="1"/>
    </row>
    <row r="83" spans="5:6" x14ac:dyDescent="0.25">
      <c r="E83" s="1"/>
      <c r="F83" s="1"/>
    </row>
    <row r="84" spans="5:6" x14ac:dyDescent="0.25">
      <c r="E84" s="1"/>
      <c r="F84" s="1"/>
    </row>
    <row r="85" spans="5:6" x14ac:dyDescent="0.25">
      <c r="E85" s="1"/>
      <c r="F85" s="1"/>
    </row>
    <row r="99" spans="1:48" ht="15.75" x14ac:dyDescent="0.25">
      <c r="A99" s="47" t="s">
        <v>123</v>
      </c>
      <c r="B99"/>
    </row>
    <row r="100" spans="1:48" x14ac:dyDescent="0.25">
      <c r="A100" s="14" t="s">
        <v>122</v>
      </c>
      <c r="B100" s="14"/>
      <c r="C100">
        <v>0</v>
      </c>
      <c r="D100" t="s">
        <v>9</v>
      </c>
      <c r="I100" s="15" t="s">
        <v>118</v>
      </c>
    </row>
    <row r="101" spans="1:48" x14ac:dyDescent="0.25">
      <c r="A101" t="s">
        <v>124</v>
      </c>
      <c r="B101"/>
      <c r="C101">
        <v>5</v>
      </c>
      <c r="D101" t="s">
        <v>2</v>
      </c>
      <c r="I101" s="41">
        <f>C108</f>
        <v>0</v>
      </c>
      <c r="U101" s="9" t="s">
        <v>109</v>
      </c>
      <c r="AB101" s="11" t="s">
        <v>119</v>
      </c>
      <c r="AC101" t="s">
        <v>120</v>
      </c>
      <c r="AO101" s="9" t="s">
        <v>109</v>
      </c>
    </row>
    <row r="102" spans="1:48" x14ac:dyDescent="0.25">
      <c r="A102" t="s">
        <v>125</v>
      </c>
      <c r="B102"/>
      <c r="C102">
        <v>30</v>
      </c>
      <c r="D102" t="s">
        <v>2</v>
      </c>
      <c r="H102" s="11"/>
      <c r="I102" s="44" t="str">
        <f>CONCATENATE("2 Segment (",$C100,"N Load)")</f>
        <v>2 Segment (0N Load)</v>
      </c>
      <c r="J102" s="45"/>
      <c r="K102" s="45"/>
      <c r="L102" s="45"/>
      <c r="M102" s="46"/>
      <c r="N102" s="44" t="s">
        <v>73</v>
      </c>
      <c r="O102" s="45"/>
      <c r="P102" s="45"/>
      <c r="Q102" s="45"/>
      <c r="R102" s="46"/>
      <c r="S102" s="44" t="str">
        <f>CONCATENATE("3 Segment (",$C100,"N Load)")</f>
        <v>3 Segment (0N Load)</v>
      </c>
      <c r="T102" s="45"/>
      <c r="U102" s="45"/>
      <c r="V102" s="45"/>
      <c r="W102" s="46"/>
      <c r="X102" s="44" t="s">
        <v>75</v>
      </c>
      <c r="Y102" s="45"/>
      <c r="Z102" s="45"/>
      <c r="AA102" s="45"/>
      <c r="AB102" s="46"/>
      <c r="AC102" s="44" t="str">
        <f>CONCATENATE("2 Segment (",$C100,"N Load)")</f>
        <v>2 Segment (0N Load)</v>
      </c>
      <c r="AD102" s="45"/>
      <c r="AE102" s="45"/>
      <c r="AF102" s="45"/>
      <c r="AG102" s="46"/>
      <c r="AH102" s="44" t="s">
        <v>73</v>
      </c>
      <c r="AI102" s="45"/>
      <c r="AJ102" s="45"/>
      <c r="AK102" s="45"/>
      <c r="AL102" s="46"/>
      <c r="AM102" s="44" t="str">
        <f>CONCATENATE("3 Segment (",$C100,"N Load)")</f>
        <v>3 Segment (0N Load)</v>
      </c>
      <c r="AN102" s="45"/>
      <c r="AO102" s="45"/>
      <c r="AP102" s="45"/>
      <c r="AQ102" s="46"/>
      <c r="AR102" s="44" t="s">
        <v>75</v>
      </c>
      <c r="AS102" s="45"/>
      <c r="AT102" s="45"/>
      <c r="AU102" s="45"/>
      <c r="AV102" s="46"/>
    </row>
    <row r="103" spans="1:48" x14ac:dyDescent="0.25">
      <c r="A103" t="s">
        <v>126</v>
      </c>
      <c r="B103"/>
      <c r="C103">
        <v>4.76</v>
      </c>
      <c r="D103" t="s">
        <v>2</v>
      </c>
      <c r="H103" s="13" t="s">
        <v>40</v>
      </c>
      <c r="I103" s="22" t="s">
        <v>68</v>
      </c>
      <c r="J103" s="23" t="s">
        <v>69</v>
      </c>
      <c r="K103" s="23" t="s">
        <v>70</v>
      </c>
      <c r="L103" s="24" t="s">
        <v>71</v>
      </c>
      <c r="M103" s="24" t="s">
        <v>72</v>
      </c>
      <c r="N103" s="22" t="s">
        <v>68</v>
      </c>
      <c r="O103" s="23" t="s">
        <v>69</v>
      </c>
      <c r="P103" s="23" t="s">
        <v>70</v>
      </c>
      <c r="Q103" s="24" t="s">
        <v>71</v>
      </c>
      <c r="R103" s="24" t="s">
        <v>72</v>
      </c>
      <c r="S103" s="22" t="s">
        <v>68</v>
      </c>
      <c r="T103" s="23" t="s">
        <v>69</v>
      </c>
      <c r="U103" s="23" t="s">
        <v>70</v>
      </c>
      <c r="V103" s="24" t="s">
        <v>71</v>
      </c>
      <c r="W103" s="24" t="s">
        <v>72</v>
      </c>
      <c r="X103" s="22" t="s">
        <v>68</v>
      </c>
      <c r="Y103" s="23" t="s">
        <v>69</v>
      </c>
      <c r="Z103" s="23" t="s">
        <v>70</v>
      </c>
      <c r="AA103" s="24" t="s">
        <v>71</v>
      </c>
      <c r="AB103" s="24" t="s">
        <v>72</v>
      </c>
      <c r="AC103" s="22" t="s">
        <v>68</v>
      </c>
      <c r="AD103" s="23" t="s">
        <v>69</v>
      </c>
      <c r="AE103" s="23" t="s">
        <v>70</v>
      </c>
      <c r="AF103" s="24" t="s">
        <v>71</v>
      </c>
      <c r="AG103" s="24" t="s">
        <v>72</v>
      </c>
      <c r="AH103" s="22" t="s">
        <v>68</v>
      </c>
      <c r="AI103" s="23" t="s">
        <v>69</v>
      </c>
      <c r="AJ103" s="23" t="s">
        <v>70</v>
      </c>
      <c r="AK103" s="24" t="s">
        <v>71</v>
      </c>
      <c r="AL103" s="24" t="s">
        <v>72</v>
      </c>
      <c r="AM103" s="22" t="s">
        <v>68</v>
      </c>
      <c r="AN103" s="23" t="s">
        <v>69</v>
      </c>
      <c r="AO103" s="23" t="s">
        <v>70</v>
      </c>
      <c r="AP103" s="24" t="s">
        <v>71</v>
      </c>
      <c r="AQ103" s="24" t="s">
        <v>72</v>
      </c>
      <c r="AR103" s="22" t="s">
        <v>68</v>
      </c>
      <c r="AS103" s="23" t="s">
        <v>69</v>
      </c>
      <c r="AT103" s="23" t="s">
        <v>70</v>
      </c>
      <c r="AU103" s="24" t="s">
        <v>71</v>
      </c>
      <c r="AV103" s="24" t="s">
        <v>72</v>
      </c>
    </row>
    <row r="104" spans="1:48" x14ac:dyDescent="0.25">
      <c r="A104" t="s">
        <v>129</v>
      </c>
      <c r="B104"/>
      <c r="C104">
        <v>68900</v>
      </c>
      <c r="D104" t="s">
        <v>117</v>
      </c>
      <c r="H104">
        <v>0</v>
      </c>
      <c r="I104">
        <f>IF($H104&lt;=$C$12,$H104*MIN($C$36,$C$44)+$I101,"")</f>
        <v>0</v>
      </c>
      <c r="J104">
        <f>IF($H104&lt;=$C$12,0,"")</f>
        <v>0</v>
      </c>
      <c r="K104">
        <f>IF($H104&lt;=$C$12,0,"")</f>
        <v>0</v>
      </c>
      <c r="L104">
        <f>IF($H104&lt;=$C$12,0,"")</f>
        <v>0</v>
      </c>
      <c r="M104">
        <f>IF($H104&lt;=$C$12,0,"")</f>
        <v>0</v>
      </c>
      <c r="N104">
        <f>IF($H104&lt;=$C$12,$H104*MIN($C$36,$C$45)+$I101,"")</f>
        <v>0</v>
      </c>
      <c r="O104">
        <f>IF($H104&lt;=$C$12,0,"")</f>
        <v>0</v>
      </c>
      <c r="P104">
        <f>IF($H104&lt;=$C$12,0,"")</f>
        <v>0</v>
      </c>
      <c r="Q104">
        <f>IF($H104&lt;=$C$12,0,"")</f>
        <v>0</v>
      </c>
      <c r="R104">
        <f>IF($H104&lt;=$C$12,0,"")</f>
        <v>0</v>
      </c>
      <c r="S104">
        <f>IF($H104&lt;=$C$12,$H104*MIN($C$36,$C$46)+$I101,"")</f>
        <v>0</v>
      </c>
      <c r="T104">
        <f>IF($H104&lt;=$C$12,0,"")</f>
        <v>0</v>
      </c>
      <c r="U104">
        <f>IF($H104&lt;=$C$12,0,"")</f>
        <v>0</v>
      </c>
      <c r="V104">
        <f>IF($H104&lt;=$C$12,0,"")</f>
        <v>0</v>
      </c>
      <c r="W104">
        <f>IF($H104&lt;=$C$12,0,"")</f>
        <v>0</v>
      </c>
      <c r="X104">
        <f>IF($H104&lt;=$C$12,$H104*MIN($C$36,$C$47)+$I101,"")</f>
        <v>0</v>
      </c>
      <c r="Y104">
        <f>IF($H104&lt;=$C$12,0,"")</f>
        <v>0</v>
      </c>
      <c r="Z104">
        <f>IF($H104&lt;=$C$12,0,"")</f>
        <v>0</v>
      </c>
      <c r="AA104">
        <f>IF($H104&lt;=$C$12,0,"")</f>
        <v>0</v>
      </c>
      <c r="AB104">
        <f>IF($H104&lt;=$C$12,0,"")</f>
        <v>0</v>
      </c>
      <c r="AC104">
        <f>IF($H104&lt;=$C$12,$H104*MIN($C$36,$C$44)+$I101,"")</f>
        <v>0</v>
      </c>
      <c r="AD104">
        <f>IF($H104&lt;=$C$12,0,"")</f>
        <v>0</v>
      </c>
      <c r="AE104">
        <f>IF($H104&lt;=$C$12,0,"")</f>
        <v>0</v>
      </c>
      <c r="AF104">
        <f>IF($H104&lt;=$C$12,0,"")</f>
        <v>0</v>
      </c>
      <c r="AG104">
        <f>IF($H104&lt;=$C$12,0,"")</f>
        <v>0</v>
      </c>
      <c r="AH104">
        <f>IF($H104&lt;=$C$12,$H104*MIN($C$36,$C$45)+$I101,"")</f>
        <v>0</v>
      </c>
      <c r="AI104">
        <f>IF($H104&lt;=$C$12,0,"")</f>
        <v>0</v>
      </c>
      <c r="AJ104">
        <f>IF($H104&lt;=$C$12,0,"")</f>
        <v>0</v>
      </c>
      <c r="AK104">
        <f>IF($H104&lt;=$C$12,0,"")</f>
        <v>0</v>
      </c>
      <c r="AL104">
        <f>IF($H104&lt;=$C$12,0,"")</f>
        <v>0</v>
      </c>
      <c r="AM104">
        <f>IF($H104&lt;=$C$12,$H104*MIN($C$36,$C$46)+$I101,"")</f>
        <v>0</v>
      </c>
      <c r="AN104">
        <f>IF($H104&lt;=$C$12,0,"")</f>
        <v>0</v>
      </c>
      <c r="AO104">
        <f>IF($H104&lt;=$C$12,0,"")</f>
        <v>0</v>
      </c>
      <c r="AP104">
        <f>IF($H104&lt;=$C$12,0,"")</f>
        <v>0</v>
      </c>
      <c r="AQ104">
        <f>IF($H104&lt;=$C$12,0,"")</f>
        <v>0</v>
      </c>
      <c r="AR104">
        <f>IF($H104&lt;=$C$12,$H104*MIN($C$36,$C$47)+$I101,"")</f>
        <v>0</v>
      </c>
      <c r="AS104">
        <f>IF($H104&lt;=$C$12,0,"")</f>
        <v>0</v>
      </c>
      <c r="AT104">
        <f>IF($H104&lt;=$C$12,0,"")</f>
        <v>0</v>
      </c>
      <c r="AU104">
        <f>IF($H104&lt;=$C$12,0,"")</f>
        <v>0</v>
      </c>
      <c r="AV104">
        <f>IF($H104&lt;=$C$12,0,"")</f>
        <v>0</v>
      </c>
    </row>
    <row r="105" spans="1:48" x14ac:dyDescent="0.25">
      <c r="A105" t="s">
        <v>130</v>
      </c>
      <c r="B105"/>
      <c r="C105" s="2">
        <f>C101*C103^3/12</f>
        <v>44.937573333333326</v>
      </c>
      <c r="D105" s="2" t="s">
        <v>80</v>
      </c>
      <c r="H105">
        <v>1</v>
      </c>
      <c r="I105">
        <f>IF($H105&lt;=$C$12,$H105*MIN($C$36,$C$44)+$I101,"")</f>
        <v>5.3333335861728722E-4</v>
      </c>
      <c r="J105">
        <f>IF($H105&lt;=$C$12,$C$4*COS($C$10)*COS(MIN($C$36,$C$44)+$I101)+K104*SIN(MIN($C$36,$C$44)+$I101),"")</f>
        <v>2.2175964438287883</v>
      </c>
      <c r="K105">
        <f>IF($H105&lt;=$C$12,-$C$4*COS($C$10)*SIN(MIN($C$36,$C$44)+$I101)+K104*COS(MIN($C$36,$C$44)+$I101),"")</f>
        <v>-1.1827182715841865E-3</v>
      </c>
      <c r="L105">
        <f>IF($H105&lt;=$C$12,L104+J105,"")</f>
        <v>2.2175964438287883</v>
      </c>
      <c r="M105">
        <f>IF($H105&lt;=$C$12,M104+K105,"")</f>
        <v>-1.1827182715841865E-3</v>
      </c>
      <c r="N105">
        <f>IF($H105&lt;=$C$12,$H105*MIN($C$36,$C$45)+$I101,"")</f>
        <v>2.2857143056171048E-4</v>
      </c>
      <c r="O105">
        <f>IF($H105&lt;=$C$12,$C$4*COS($C$10)*COS(MIN($C$36,$C$44)+$I101)+P104*SIN(MIN($C$36,$C$44)+$I101),"")</f>
        <v>2.2175964438287883</v>
      </c>
      <c r="P105">
        <f>IF($H105&lt;=$C$12,-$C$4*COS($C$10)*SIN(MIN($C$36,$C$44)+$I101)+P104*COS(MIN($C$36,$C$44)+$I101),"")</f>
        <v>-1.1827182715841865E-3</v>
      </c>
      <c r="Q105">
        <f>IF($H105&lt;=$C$12,Q104+O105,"")</f>
        <v>2.2175964438287883</v>
      </c>
      <c r="R105">
        <f>IF($H105&lt;=$C$12,R104+P105,"")</f>
        <v>-1.1827182715841865E-3</v>
      </c>
      <c r="S105">
        <f>IF($H105&lt;=$C$12,$H105*MIN($C$36,$C$46)+$I101,"")</f>
        <v>6.6666671604939263E-4</v>
      </c>
      <c r="T105">
        <f>IF($H105&lt;=$C$12,$C$4*COS($C$10)*COS(MIN($C$36,$C$46)+$I101)+U104*SIN(MIN($C$36,$C$46)+$I101),"")</f>
        <v>2.2175962664210149</v>
      </c>
      <c r="U105">
        <f>IF($H105&lt;=$C$12,-$C$4*COS($C$10)*SIN(MIN($C$36,$C$46)+$I101)+U104*COS(MIN($C$36,$C$46)+$I101),"")</f>
        <v>-1.4783978394802332E-3</v>
      </c>
      <c r="V105">
        <f>IF($H105&lt;=$C$12,V104+T105,"")</f>
        <v>2.2175962664210149</v>
      </c>
      <c r="W105">
        <f>IF($H105&lt;=$C$12,W104+U105,"")</f>
        <v>-1.4783978394802332E-3</v>
      </c>
      <c r="X105">
        <f>IF($H105&lt;=$C$12,$H105*MIN($C$36,$C$47)+$I101,"")</f>
        <v>4.5714287306511332E-4</v>
      </c>
      <c r="Y105">
        <f>IF($H105&lt;=$C$12,$C$4*COS($C$10)*COS(MIN($C$36,$C$47)+$I101)+Z104*SIN(MIN($C$36,$C$47)+$I101),"")</f>
        <v>2.2175965275041047</v>
      </c>
      <c r="Z105">
        <f>IF($H105&lt;=$C$12,-$C$4*COS($C$10)*SIN(MIN($C$36,$C$47)+$I101)+Z104*COS(MIN($C$36,$C$47)+$I101),"")</f>
        <v>-1.0137585185007313E-3</v>
      </c>
      <c r="AA105">
        <f>IF($H105&lt;=$C$12,AA104+Y105,"")</f>
        <v>2.2175965275041047</v>
      </c>
      <c r="AB105">
        <f>IF($H105&lt;=$C$12,AB104+Z105,"")</f>
        <v>-1.0137585185007313E-3</v>
      </c>
      <c r="AC105">
        <f>IF($H105&lt;=$C$12,$H105*MIN($C$36,$C$44)+$I101,"")</f>
        <v>5.3333335861728722E-4</v>
      </c>
      <c r="AD105">
        <f>IF($H105&lt;=$C$12,$E$4*COS($C$10)*COS(MIN($C$36,$C$44)+$I101)+AE104*SIN(MIN($C$36,$C$44)+$I101),"")</f>
        <v>56.326949673251214</v>
      </c>
      <c r="AE105">
        <f>IF($H105&lt;=$C$12,-$E$4*COS($C$10)*SIN(MIN($C$36,$C$44)+$I101)+AE104*COS(MIN($C$36,$C$44)+$I101),"")</f>
        <v>-3.0041044098238337E-2</v>
      </c>
      <c r="AF105">
        <f>IF($H105&lt;=$C$12,AF104+AD105,"")</f>
        <v>56.326949673251214</v>
      </c>
      <c r="AG105">
        <f>IF($H105&lt;=$C$12,AG104+AE105,"")</f>
        <v>-3.0041044098238337E-2</v>
      </c>
      <c r="AH105">
        <f>IF($H105&lt;=$C$12,$H105*MIN($C$36,$C$45)+$I101,"")</f>
        <v>2.2857143056171048E-4</v>
      </c>
      <c r="AI105">
        <f>IF($H105&lt;=$C$12,$E$4*COS($C$10)*COS(MIN($C$36,$C$45)+$I101)+AJ104*SIN(MIN($C$36,$C$45)+$I101),"")</f>
        <v>56.326956212798777</v>
      </c>
      <c r="AJ105">
        <f>IF($H105&lt;=$C$12,-$E$4*COS($C$10)*SIN(MIN($C$36,$C$45)+$I101)+AJ104*COS(MIN($C$36,$C$45)+$I101),"")</f>
        <v>-1.2874733184959287E-2</v>
      </c>
      <c r="AK105">
        <f>IF($H105&lt;=$C$12,AK104+AI105,"")</f>
        <v>56.326956212798777</v>
      </c>
      <c r="AL105">
        <f>IF($H105&lt;=$C$12,AL104+AJ105,"")</f>
        <v>-1.2874733184959287E-2</v>
      </c>
      <c r="AM105">
        <f>IF($H105&lt;=$C$12,$H105*MIN($C$36,$C$46)+$I101,"")</f>
        <v>6.6666671604939263E-4</v>
      </c>
      <c r="AN105">
        <f>IF($H105&lt;=$C$12,$E$4*COS($C$10)*COS(MIN($C$36,$C$46)+$I101)+AO104*SIN(MIN($C$36,$C$46)+$I101),"")</f>
        <v>56.326945167093776</v>
      </c>
      <c r="AO105">
        <f>IF($H105&lt;=$C$12,-$E$4*COS($C$10)*SIN(MIN($C$36,$C$46)+$I101)+AO104*COS(MIN($C$36,$C$46)+$I101),"")</f>
        <v>-3.7551305122797925E-2</v>
      </c>
      <c r="AP105">
        <f>IF($H105&lt;=$C$12,AP104+AN105,"")</f>
        <v>56.326945167093776</v>
      </c>
      <c r="AQ105">
        <f>IF($H105&lt;=$C$12,AQ104+AO105,"")</f>
        <v>-3.7551305122797925E-2</v>
      </c>
      <c r="AR105">
        <f>IF($H105&lt;=$C$12,$H105*MIN($C$36,$C$47)+$I101,"")</f>
        <v>4.5714287306511332E-4</v>
      </c>
      <c r="AS105">
        <f>IF($H105&lt;=$C$12,$E$4*COS($C$10)*COS(MIN($C$36,$C$47)+$I101)+AT104*SIN(MIN($C$36,$C$47)+$I101),"")</f>
        <v>56.326951798604256</v>
      </c>
      <c r="AT105">
        <f>IF($H105&lt;=$C$12,-$E$4*COS($C$10)*SIN(MIN($C$36,$C$47)+$I101)+AT104*COS(MIN($C$36,$C$47)+$I101),"")</f>
        <v>-2.5749466369918574E-2</v>
      </c>
      <c r="AU105">
        <f>IF($H105&lt;=$C$12,AU104+AS105,"")</f>
        <v>56.326951798604256</v>
      </c>
      <c r="AV105">
        <f>IF($H105&lt;=$C$12,AV104+AT105,"")</f>
        <v>-2.5749466369918574E-2</v>
      </c>
    </row>
    <row r="106" spans="1:48" x14ac:dyDescent="0.25">
      <c r="A106" t="s">
        <v>127</v>
      </c>
      <c r="B106"/>
      <c r="C106" s="2">
        <f>C100*C102^3/(48*C104*C105)</f>
        <v>0</v>
      </c>
      <c r="D106" s="2" t="s">
        <v>2</v>
      </c>
      <c r="H106">
        <v>2</v>
      </c>
      <c r="I106">
        <f>IF($H106&lt;=$C$12,$H106*MIN($C$36,$C$44)+$I101,"")</f>
        <v>1.0666667172345744E-3</v>
      </c>
      <c r="J106">
        <f t="shared" ref="J106:J114" si="157">IF($H106&lt;=$C$12,$C$4*COS($C$10)*COS(MIN($C$36,$C$44))+K105*SIN(MIN($C$36,$C$44)),"")</f>
        <v>2.2175958130457101</v>
      </c>
      <c r="K106">
        <f t="shared" ref="K106:K114" si="158">IF($H106&lt;=$C$12,-$C$4*COS($C$10)*SIN(MIN($C$36,$C$44))+K105*COS(MIN($C$36,$C$44)),"")</f>
        <v>-2.3654363749595403E-3</v>
      </c>
      <c r="L106">
        <f t="shared" ref="L106:L114" si="159">IF($H106&lt;=$C$12,L105+J106,"")</f>
        <v>4.4351922568744984</v>
      </c>
      <c r="M106">
        <f t="shared" ref="M106:M114" si="160">IF($H106&lt;=$C$12,M105+K106,"")</f>
        <v>-3.548154646543727E-3</v>
      </c>
      <c r="N106">
        <f>IF($H106&lt;=$C$12,$H106*MIN($C$36,$C$45)+$I101,"")</f>
        <v>4.5714286112342095E-4</v>
      </c>
      <c r="O106">
        <f t="shared" ref="O106:O114" si="161">IF($H106&lt;=$C$12,$C$4*COS($C$10)*COS(MIN($C$36,$C$45))+P105*SIN(MIN($C$36,$C$45)),"")</f>
        <v>2.2175964309556857</v>
      </c>
      <c r="P106">
        <f t="shared" ref="P106:P114" si="162">IF($H106&lt;=$C$12,-$C$4*COS($C$10)*SIN(MIN($C$36,$C$45))+P105*COS(MIN($C$36,$C$45)),"")</f>
        <v>-1.6895974999390538E-3</v>
      </c>
      <c r="Q106">
        <f t="shared" ref="Q106:Q114" si="163">IF($H106&lt;=$C$12,Q105+O106,"")</f>
        <v>4.435192874784474</v>
      </c>
      <c r="R106">
        <f t="shared" ref="R106:R114" si="164">IF($H106&lt;=$C$12,R105+P106,"")</f>
        <v>-2.8723157715232405E-3</v>
      </c>
      <c r="S106">
        <f>IF($H106&lt;=$C$12,$H106*MIN($C$36,$C$46)+$I101,"")</f>
        <v>1.3333334320987853E-3</v>
      </c>
      <c r="T106">
        <f t="shared" ref="T106:T114" si="165">IF($H106&lt;=$C$12,$C$4*COS($C$10)*COS(MIN($C$36,$C$46))+U105*SIN(MIN($C$36,$C$46)),"")</f>
        <v>2.2175952808224553</v>
      </c>
      <c r="U106">
        <f t="shared" ref="U106:U114" si="166">IF($H106&lt;=$C$12,-$C$4*COS($C$10)*SIN(MIN($C$36,$C$46))+U105*COS(MIN($C$36,$C$46)),"")</f>
        <v>-2.9567953504275766E-3</v>
      </c>
      <c r="V106">
        <f t="shared" ref="V106:V114" si="167">IF($H106&lt;=$C$12,V105+T106,"")</f>
        <v>4.4351915472434698</v>
      </c>
      <c r="W106">
        <f t="shared" ref="W106:W114" si="168">IF($H106&lt;=$C$12,W105+U106,"")</f>
        <v>-4.4351931899078096E-3</v>
      </c>
      <c r="X106">
        <f>IF($H106&lt;=$C$12,$H106*MIN($C$36,$C$47)+$I101,"")</f>
        <v>9.1428574613022665E-4</v>
      </c>
      <c r="Y106">
        <f t="shared" ref="Y106:Y114" si="169">IF($H106&lt;=$C$12,$C$4*COS($C$10)*COS(MIN($C$36,$C$47))+Z105*SIN(MIN($C$36,$C$47)),"")</f>
        <v>2.217596064071639</v>
      </c>
      <c r="Z106">
        <f t="shared" ref="Z106:Z114" si="170">IF($H106&lt;=$C$12,-$C$4*COS($C$10)*SIN(MIN($C$36,$C$47))+Z105*COS(MIN($C$36,$C$47)),"")</f>
        <v>-2.0275169310740365E-3</v>
      </c>
      <c r="AA106">
        <f t="shared" ref="AA106:AA114" si="171">IF($H106&lt;=$C$12,AA105+Y106,"")</f>
        <v>4.4351925915757437</v>
      </c>
      <c r="AB106">
        <f t="shared" ref="AB106:AB114" si="172">IF($H106&lt;=$C$12,AB105+Z106,"")</f>
        <v>-3.0412754495747676E-3</v>
      </c>
      <c r="AC106">
        <f>IF($H106&lt;=$C$12,$H106*MIN($C$36,$C$44)+$I101,"")</f>
        <v>1.0666667172345744E-3</v>
      </c>
      <c r="AD106">
        <f t="shared" ref="AD106:AD114" si="173">IF($H106&lt;=$C$12,$E$4*COS($C$10)*COS(MIN($C$36,$C$44))+AE105*SIN(MIN($C$36,$C$44)),"")</f>
        <v>56.326933651361031</v>
      </c>
      <c r="AE106">
        <f t="shared" ref="AE106:AE114" si="174">IF($H106&lt;=$C$12,-$E$4*COS($C$10)*SIN(MIN($C$36,$C$44))+AE105*COS(MIN($C$36,$C$44)),"")</f>
        <v>-6.0082083923972324E-2</v>
      </c>
      <c r="AF106">
        <f t="shared" ref="AF106:AF114" si="175">IF($H106&lt;=$C$12,AF105+AD106,"")</f>
        <v>112.65388332461225</v>
      </c>
      <c r="AG106">
        <f t="shared" ref="AG106:AG114" si="176">IF($H106&lt;=$C$12,AG105+AE106,"")</f>
        <v>-9.0123128022210661E-2</v>
      </c>
      <c r="AH106">
        <f>IF($H106&lt;=$C$12,$H106*MIN($C$36,$C$45)+$I101,"")</f>
        <v>4.5714286112342095E-4</v>
      </c>
      <c r="AI106">
        <f t="shared" ref="AI106:AI114" si="177">IF($H106&lt;=$C$12,$E$4*COS($C$10)*COS(MIN($C$36,$C$45))+AJ105*SIN(MIN($C$36,$C$45)),"")</f>
        <v>56.326953270002619</v>
      </c>
      <c r="AJ106">
        <f t="shared" ref="AJ106:AJ114" si="178">IF($H106&lt;=$C$12,-$E$4*COS($C$10)*SIN(MIN($C$36,$C$45))+AJ105*COS(MIN($C$36,$C$45)),"")</f>
        <v>-2.5749466033599011E-2</v>
      </c>
      <c r="AK106">
        <f t="shared" ref="AK106:AK114" si="179">IF($H106&lt;=$C$12,AK105+AI106,"")</f>
        <v>112.6539094828014</v>
      </c>
      <c r="AL106">
        <f t="shared" ref="AL106:AL114" si="180">IF($H106&lt;=$C$12,AL105+AJ106,"")</f>
        <v>-3.8624199218558294E-2</v>
      </c>
      <c r="AM106">
        <f>IF($H106&lt;=$C$12,$H106*MIN($C$36,$C$46)+$I101,"")</f>
        <v>1.3333334320987853E-3</v>
      </c>
      <c r="AN106">
        <f t="shared" ref="AN106:AN114" si="181">IF($H106&lt;=$C$12,$E$4*COS($C$10)*COS(MIN($C$36,$C$46))+AO105*SIN(MIN($C$36,$C$46)),"")</f>
        <v>56.326920132890358</v>
      </c>
      <c r="AO106">
        <f t="shared" ref="AO106:AO114" si="182">IF($H106&lt;=$C$12,-$E$4*COS($C$10)*SIN(MIN($C$36,$C$46))+AO105*COS(MIN($C$36,$C$46)),"")</f>
        <v>-7.5102601900860447E-2</v>
      </c>
      <c r="AP106">
        <f t="shared" ref="AP106:AP114" si="183">IF($H106&lt;=$C$12,AP105+AN106,"")</f>
        <v>112.65386529998413</v>
      </c>
      <c r="AQ106">
        <f t="shared" ref="AQ106:AQ114" si="184">IF($H106&lt;=$C$12,AQ105+AO106,"")</f>
        <v>-0.11265390702365838</v>
      </c>
      <c r="AR106">
        <f>IF($H106&lt;=$C$12,$H106*MIN($C$36,$C$47)+$I101,"")</f>
        <v>9.1428574613022665E-4</v>
      </c>
      <c r="AS106">
        <f t="shared" ref="AS106:AS114" si="185">IF($H106&lt;=$C$12,$E$4*COS($C$10)*COS(MIN($C$36,$C$47))+AT105*SIN(MIN($C$36,$C$47)),"")</f>
        <v>56.326940027419631</v>
      </c>
      <c r="AT106">
        <f t="shared" ref="AT106:AT114" si="186">IF($H106&lt;=$C$12,-$E$4*COS($C$10)*SIN(MIN($C$36,$C$47))+AT105*COS(MIN($C$36,$C$47)),"")</f>
        <v>-5.1498930049280522E-2</v>
      </c>
      <c r="AU106">
        <f t="shared" ref="AU106:AU114" si="187">IF($H106&lt;=$C$12,AU105+AS106,"")</f>
        <v>112.65389182602388</v>
      </c>
      <c r="AV106">
        <f t="shared" ref="AV106:AV114" si="188">IF($H106&lt;=$C$12,AV105+AT106,"")</f>
        <v>-7.7248396419199089E-2</v>
      </c>
    </row>
    <row r="107" spans="1:48" x14ac:dyDescent="0.25">
      <c r="A107" t="s">
        <v>128</v>
      </c>
      <c r="B107"/>
      <c r="C107">
        <v>28.6</v>
      </c>
      <c r="D107" t="s">
        <v>2</v>
      </c>
      <c r="H107">
        <v>3</v>
      </c>
      <c r="I107">
        <f>IF($H107&lt;=$C$12,$H107*MIN($C$36,$C$44)+$I101,"")</f>
        <v>1.6000000758518615E-3</v>
      </c>
      <c r="J107">
        <f t="shared" si="157"/>
        <v>2.2175951822627216</v>
      </c>
      <c r="K107">
        <f t="shared" si="158"/>
        <v>-3.5481543101260849E-3</v>
      </c>
      <c r="L107">
        <f t="shared" si="159"/>
        <v>6.6527874391372199</v>
      </c>
      <c r="M107">
        <f t="shared" si="160"/>
        <v>-7.0963089566698119E-3</v>
      </c>
      <c r="N107">
        <f>IF($H107&lt;=$C$12,$H107*MIN($C$36,$C$45)+$I101,"")</f>
        <v>6.8571429168513137E-4</v>
      </c>
      <c r="O107">
        <f t="shared" si="161"/>
        <v>2.2175963150975764</v>
      </c>
      <c r="P107">
        <f t="shared" si="162"/>
        <v>-2.1964767150529944E-3</v>
      </c>
      <c r="Q107">
        <f t="shared" si="163"/>
        <v>6.6527891898820499</v>
      </c>
      <c r="R107">
        <f t="shared" si="164"/>
        <v>-5.0687924865762349E-3</v>
      </c>
      <c r="S107">
        <f>IF($H107&lt;=$C$12,$H107*MIN($C$36,$C$46)+$I101,"")</f>
        <v>2.0000001481481778E-3</v>
      </c>
      <c r="T107">
        <f t="shared" si="165"/>
        <v>2.2175942952241146</v>
      </c>
      <c r="U107">
        <f t="shared" si="166"/>
        <v>-4.435192532842103E-3</v>
      </c>
      <c r="V107">
        <f t="shared" si="167"/>
        <v>6.6527858424675843</v>
      </c>
      <c r="W107">
        <f t="shared" si="168"/>
        <v>-8.8703857227499135E-3</v>
      </c>
      <c r="X107">
        <f>IF($H107&lt;=$C$12,$H107*MIN($C$36,$C$47)+$I101,"")</f>
        <v>1.37142861919534E-3</v>
      </c>
      <c r="Y107">
        <f t="shared" si="169"/>
        <v>2.2175956006392221</v>
      </c>
      <c r="Z107">
        <f t="shared" si="170"/>
        <v>-3.0412752377199266E-3</v>
      </c>
      <c r="AA107">
        <f t="shared" si="171"/>
        <v>6.6527881922149659</v>
      </c>
      <c r="AB107">
        <f t="shared" si="172"/>
        <v>-6.0825506872946942E-3</v>
      </c>
      <c r="AC107">
        <f>IF($H107&lt;=$C$12,$H107*MIN($C$36,$C$44)+$I101,"")</f>
        <v>1.6000000758518615E-3</v>
      </c>
      <c r="AD107">
        <f t="shared" si="173"/>
        <v>56.326917629473122</v>
      </c>
      <c r="AE107">
        <f t="shared" si="174"/>
        <v>-9.0123119477202557E-2</v>
      </c>
      <c r="AF107">
        <f t="shared" si="175"/>
        <v>168.98080095408537</v>
      </c>
      <c r="AG107">
        <f t="shared" si="176"/>
        <v>-0.1802462474994132</v>
      </c>
      <c r="AH107">
        <f>IF($H107&lt;=$C$12,$H107*MIN($C$36,$C$45)+$I101,"")</f>
        <v>6.8571429168513137E-4</v>
      </c>
      <c r="AI107">
        <f t="shared" si="177"/>
        <v>56.326950327206539</v>
      </c>
      <c r="AJ107">
        <f t="shared" si="178"/>
        <v>-3.8624198545919176E-2</v>
      </c>
      <c r="AK107">
        <f t="shared" si="179"/>
        <v>168.98085981000793</v>
      </c>
      <c r="AL107">
        <f t="shared" si="180"/>
        <v>-7.7248397764477478E-2</v>
      </c>
      <c r="AM107">
        <f>IF($H107&lt;=$C$12,$H107*MIN($C$36,$C$46)+$I101,"")</f>
        <v>2.0000001481481778E-3</v>
      </c>
      <c r="AN107">
        <f t="shared" si="181"/>
        <v>56.326895098692511</v>
      </c>
      <c r="AO107">
        <f t="shared" si="182"/>
        <v>-0.11265389033418943</v>
      </c>
      <c r="AP107">
        <f t="shared" si="183"/>
        <v>168.98076039867664</v>
      </c>
      <c r="AQ107">
        <f t="shared" si="184"/>
        <v>-0.22530779735784781</v>
      </c>
      <c r="AR107">
        <f>IF($H107&lt;=$C$12,$H107*MIN($C$36,$C$47)+$I101,"")</f>
        <v>1.37142861919534E-3</v>
      </c>
      <c r="AS107">
        <f t="shared" si="185"/>
        <v>56.326928256236236</v>
      </c>
      <c r="AT107">
        <f t="shared" si="186"/>
        <v>-7.7248391038086117E-2</v>
      </c>
      <c r="AU107">
        <f t="shared" si="187"/>
        <v>168.98082008226012</v>
      </c>
      <c r="AV107">
        <f t="shared" si="188"/>
        <v>-0.15449678745728521</v>
      </c>
    </row>
    <row r="108" spans="1:48" x14ac:dyDescent="0.25">
      <c r="A108" s="14" t="s">
        <v>131</v>
      </c>
      <c r="B108" s="14"/>
      <c r="C108" s="6">
        <f>ATAN(C106/C107)</f>
        <v>0</v>
      </c>
      <c r="D108" s="6" t="s">
        <v>13</v>
      </c>
      <c r="E108" s="6">
        <f>DEGREES(C108)</f>
        <v>0</v>
      </c>
      <c r="F108" s="6" t="s">
        <v>12</v>
      </c>
      <c r="H108">
        <v>4</v>
      </c>
      <c r="I108">
        <f>IF($H108&lt;=$C$12,$H108*MIN($C$36,$C$44)+$I101,"")</f>
        <v>2.1333334344691489E-3</v>
      </c>
      <c r="J108">
        <f t="shared" si="157"/>
        <v>2.2175945514798228</v>
      </c>
      <c r="K108">
        <f t="shared" si="158"/>
        <v>-4.7308720770838451E-3</v>
      </c>
      <c r="L108">
        <f t="shared" si="159"/>
        <v>8.8703819906170427</v>
      </c>
      <c r="M108">
        <f t="shared" si="160"/>
        <v>-1.1827181033753657E-2</v>
      </c>
      <c r="N108">
        <f>IF($H108&lt;=$C$12,$H108*MIN($C$36,$C$45)+$I101,"")</f>
        <v>9.142857222468419E-4</v>
      </c>
      <c r="O108">
        <f t="shared" si="161"/>
        <v>2.2175961992394702</v>
      </c>
      <c r="P108">
        <f t="shared" si="162"/>
        <v>-2.7033559169260084E-3</v>
      </c>
      <c r="Q108">
        <f t="shared" si="163"/>
        <v>8.8703853891215196</v>
      </c>
      <c r="R108">
        <f t="shared" si="164"/>
        <v>-7.7721484035022433E-3</v>
      </c>
      <c r="S108">
        <f>IF($H108&lt;=$C$12,$H108*MIN($C$36,$C$46)+$I101,"")</f>
        <v>2.6666668641975705E-3</v>
      </c>
      <c r="T108">
        <f t="shared" si="165"/>
        <v>2.2175933096259932</v>
      </c>
      <c r="U108">
        <f t="shared" si="166"/>
        <v>-5.9135893867238859E-3</v>
      </c>
      <c r="V108">
        <f t="shared" si="167"/>
        <v>8.8703791520935766</v>
      </c>
      <c r="W108">
        <f t="shared" si="168"/>
        <v>-1.4783975109473799E-2</v>
      </c>
      <c r="X108">
        <f>IF($H108&lt;=$C$12,$H108*MIN($C$36,$C$47)+$I101,"")</f>
        <v>1.8285714922604533E-3</v>
      </c>
      <c r="Y108">
        <f t="shared" si="169"/>
        <v>2.2175951372068532</v>
      </c>
      <c r="Z108">
        <f t="shared" si="170"/>
        <v>-4.0550334384384127E-3</v>
      </c>
      <c r="AA108">
        <f t="shared" si="171"/>
        <v>8.87038332942182</v>
      </c>
      <c r="AB108">
        <f t="shared" si="172"/>
        <v>-1.0137584125733106E-2</v>
      </c>
      <c r="AC108">
        <f>IF($H108&lt;=$C$12,$H108*MIN($C$36,$C$44)+$I101,"")</f>
        <v>2.1333334344691489E-3</v>
      </c>
      <c r="AD108">
        <f t="shared" si="173"/>
        <v>56.326901607587494</v>
      </c>
      <c r="AE108">
        <f t="shared" si="174"/>
        <v>-0.12016415075792966</v>
      </c>
      <c r="AF108">
        <f t="shared" si="175"/>
        <v>225.30770256167287</v>
      </c>
      <c r="AG108">
        <f t="shared" si="176"/>
        <v>-0.30041039825734284</v>
      </c>
      <c r="AH108">
        <f>IF($H108&lt;=$C$12,$H108*MIN($C$36,$C$45)+$I101,"")</f>
        <v>9.142857222468419E-4</v>
      </c>
      <c r="AI108">
        <f t="shared" si="177"/>
        <v>56.326947384410538</v>
      </c>
      <c r="AJ108">
        <f t="shared" si="178"/>
        <v>-5.14989307219198E-2</v>
      </c>
      <c r="AK108">
        <f t="shared" si="179"/>
        <v>225.30780719441847</v>
      </c>
      <c r="AL108">
        <f t="shared" si="180"/>
        <v>-0.12874732848639728</v>
      </c>
      <c r="AM108">
        <f>IF($H108&lt;=$C$12,$H108*MIN($C$36,$C$46)+$I101,"")</f>
        <v>2.6666668641975705E-3</v>
      </c>
      <c r="AN108">
        <f t="shared" si="181"/>
        <v>56.32687006450022</v>
      </c>
      <c r="AO108">
        <f t="shared" si="182"/>
        <v>-0.15020517042278672</v>
      </c>
      <c r="AP108">
        <f t="shared" si="183"/>
        <v>225.30763046317685</v>
      </c>
      <c r="AQ108">
        <f t="shared" si="184"/>
        <v>-0.37551296778063453</v>
      </c>
      <c r="AR108">
        <f>IF($H108&lt;=$C$12,$H108*MIN($C$36,$C$47)+$I101,"")</f>
        <v>1.8285714922604533E-3</v>
      </c>
      <c r="AS108">
        <f t="shared" si="185"/>
        <v>56.32691648505407</v>
      </c>
      <c r="AT108">
        <f t="shared" si="186"/>
        <v>-0.10299784933633566</v>
      </c>
      <c r="AU108">
        <f t="shared" si="187"/>
        <v>225.30773656731418</v>
      </c>
      <c r="AV108">
        <f t="shared" si="188"/>
        <v>-0.25749463679362083</v>
      </c>
    </row>
    <row r="109" spans="1:48" x14ac:dyDescent="0.25">
      <c r="B109"/>
      <c r="H109">
        <v>5</v>
      </c>
      <c r="I109">
        <f>IF($H109&lt;=$C$12,$H109*MIN($C$36,$C$44)+$I101,"")</f>
        <v>2.6666667930864362E-3</v>
      </c>
      <c r="J109">
        <f t="shared" si="157"/>
        <v>2.2175939206970137</v>
      </c>
      <c r="K109">
        <f t="shared" si="158"/>
        <v>-5.913589675832844E-3</v>
      </c>
      <c r="L109">
        <f t="shared" si="159"/>
        <v>11.087975911314057</v>
      </c>
      <c r="M109">
        <f t="shared" si="160"/>
        <v>-1.77407707095865E-2</v>
      </c>
      <c r="N109">
        <f>IF($H109&lt;=$C$12,$H109*MIN($C$36,$C$45)+$I101,"")</f>
        <v>1.1428571528085524E-3</v>
      </c>
      <c r="O109">
        <f t="shared" si="161"/>
        <v>2.217596083381367</v>
      </c>
      <c r="P109">
        <f t="shared" si="162"/>
        <v>-3.2102351055580962E-3</v>
      </c>
      <c r="Q109">
        <f t="shared" si="163"/>
        <v>11.087981472502886</v>
      </c>
      <c r="R109">
        <f t="shared" si="164"/>
        <v>-1.0982383509060339E-2</v>
      </c>
      <c r="S109">
        <f>IF($H109&lt;=$C$12,$H109*MIN($C$36,$C$46)+$I101,"")</f>
        <v>3.3333335802469633E-3</v>
      </c>
      <c r="T109">
        <f t="shared" si="165"/>
        <v>2.2175923240280904</v>
      </c>
      <c r="U109">
        <f t="shared" si="166"/>
        <v>-7.3919859120729981E-3</v>
      </c>
      <c r="V109">
        <f t="shared" si="167"/>
        <v>11.087971476121666</v>
      </c>
      <c r="W109">
        <f t="shared" si="168"/>
        <v>-2.2175961021546797E-2</v>
      </c>
      <c r="X109">
        <f>IF($H109&lt;=$C$12,$H109*MIN($C$36,$C$47)+$I101,"")</f>
        <v>2.2857143653255666E-3</v>
      </c>
      <c r="Y109">
        <f t="shared" si="169"/>
        <v>2.2175946737745327</v>
      </c>
      <c r="Z109">
        <f t="shared" si="170"/>
        <v>-5.0687915332295053E-3</v>
      </c>
      <c r="AA109">
        <f t="shared" si="171"/>
        <v>11.087978003196353</v>
      </c>
      <c r="AB109">
        <f t="shared" si="172"/>
        <v>-1.5206375658962611E-2</v>
      </c>
      <c r="AC109">
        <f>IF($H109&lt;=$C$12,$H109*MIN($C$36,$C$44)+$I101,"")</f>
        <v>2.6666667930864362E-3</v>
      </c>
      <c r="AD109">
        <f t="shared" si="173"/>
        <v>56.32688558570414</v>
      </c>
      <c r="AE109">
        <f t="shared" si="174"/>
        <v>-0.15020517776615422</v>
      </c>
      <c r="AF109">
        <f t="shared" si="175"/>
        <v>281.63458814737703</v>
      </c>
      <c r="AG109">
        <f t="shared" si="176"/>
        <v>-0.45061557602349706</v>
      </c>
      <c r="AH109">
        <f>IF($H109&lt;=$C$12,$H109*MIN($C$36,$C$45)+$I101,"")</f>
        <v>1.1428571528085524E-3</v>
      </c>
      <c r="AI109">
        <f t="shared" si="177"/>
        <v>56.326944441614614</v>
      </c>
      <c r="AJ109">
        <f t="shared" si="178"/>
        <v>-6.4373662561600875E-2</v>
      </c>
      <c r="AK109">
        <f t="shared" si="179"/>
        <v>281.63475163603312</v>
      </c>
      <c r="AL109">
        <f t="shared" si="180"/>
        <v>-0.19312099104799815</v>
      </c>
      <c r="AM109">
        <f>IF($H109&lt;=$C$12,$H109*MIN($C$36,$C$46)+$I101,"")</f>
        <v>3.3333335802469633E-3</v>
      </c>
      <c r="AN109">
        <f t="shared" si="181"/>
        <v>56.326845030313493</v>
      </c>
      <c r="AO109">
        <f t="shared" si="182"/>
        <v>-0.18775644216665416</v>
      </c>
      <c r="AP109">
        <f t="shared" si="183"/>
        <v>281.63447549349036</v>
      </c>
      <c r="AQ109">
        <f t="shared" si="184"/>
        <v>-0.56326940994728869</v>
      </c>
      <c r="AR109">
        <f>IF($H109&lt;=$C$12,$H109*MIN($C$36,$C$47)+$I101,"")</f>
        <v>2.2857143653255666E-3</v>
      </c>
      <c r="AS109">
        <f t="shared" si="185"/>
        <v>56.326904713873134</v>
      </c>
      <c r="AT109">
        <f t="shared" si="186"/>
        <v>-0.12874730494402942</v>
      </c>
      <c r="AU109">
        <f t="shared" si="187"/>
        <v>281.63464128118733</v>
      </c>
      <c r="AV109">
        <f t="shared" si="188"/>
        <v>-0.38624194173765025</v>
      </c>
    </row>
    <row r="110" spans="1:48" x14ac:dyDescent="0.25">
      <c r="B110"/>
      <c r="H110">
        <v>6</v>
      </c>
      <c r="I110">
        <f>IF($H110&lt;=$C$12,$H110*MIN($C$36,$C$44)+$I101,"")</f>
        <v>3.2000001517037231E-3</v>
      </c>
      <c r="J110">
        <f t="shared" si="157"/>
        <v>2.2175932899142947</v>
      </c>
      <c r="K110">
        <f t="shared" si="158"/>
        <v>-7.0963071063731061E-3</v>
      </c>
      <c r="L110">
        <f t="shared" si="159"/>
        <v>13.305569201228352</v>
      </c>
      <c r="M110">
        <f t="shared" si="160"/>
        <v>-2.4837077815959605E-2</v>
      </c>
      <c r="N110">
        <f>IF($H110&lt;=$C$12,$H110*MIN($C$36,$C$45)+$I101,"")</f>
        <v>1.3714285833702627E-3</v>
      </c>
      <c r="O110">
        <f t="shared" si="161"/>
        <v>2.2175959675232666</v>
      </c>
      <c r="P110">
        <f t="shared" si="162"/>
        <v>-3.7171142809492579E-3</v>
      </c>
      <c r="Q110">
        <f t="shared" si="163"/>
        <v>13.305577440026152</v>
      </c>
      <c r="R110">
        <f t="shared" si="164"/>
        <v>-1.4699497790009597E-2</v>
      </c>
      <c r="S110">
        <f>IF($H110&lt;=$C$12,$H110*MIN($C$36,$C$46)+$I101,"")</f>
        <v>4.0000002962963556E-3</v>
      </c>
      <c r="T110">
        <f t="shared" si="165"/>
        <v>2.2175913384304069</v>
      </c>
      <c r="U110">
        <f t="shared" si="166"/>
        <v>-8.8703821088895133E-3</v>
      </c>
      <c r="V110">
        <f t="shared" si="167"/>
        <v>13.305562814552072</v>
      </c>
      <c r="W110">
        <f t="shared" si="168"/>
        <v>-3.1046343130436312E-2</v>
      </c>
      <c r="X110">
        <f>IF($H110&lt;=$C$12,$H110*MIN($C$36,$C$47)+$I101,"")</f>
        <v>2.74285723839068E-3</v>
      </c>
      <c r="Y110">
        <f t="shared" si="169"/>
        <v>2.217594210342261</v>
      </c>
      <c r="Z110">
        <f t="shared" si="170"/>
        <v>-6.0825495220932155E-3</v>
      </c>
      <c r="AA110">
        <f t="shared" si="171"/>
        <v>13.305572213538614</v>
      </c>
      <c r="AB110">
        <f t="shared" si="172"/>
        <v>-2.1288925181055827E-2</v>
      </c>
      <c r="AC110">
        <f>IF($H110&lt;=$C$12,$H110*MIN($C$36,$C$44)+$I101,"")</f>
        <v>3.2000001517037231E-3</v>
      </c>
      <c r="AD110">
        <f t="shared" si="173"/>
        <v>56.326869563823074</v>
      </c>
      <c r="AE110">
        <f t="shared" si="174"/>
        <v>-0.18024620050187684</v>
      </c>
      <c r="AF110">
        <f t="shared" si="175"/>
        <v>337.96145771120013</v>
      </c>
      <c r="AG110">
        <f t="shared" si="176"/>
        <v>-0.6308617765253739</v>
      </c>
      <c r="AH110">
        <f>IF($H110&lt;=$C$12,$H110*MIN($C$36,$C$45)+$I101,"")</f>
        <v>1.3714285833702627E-3</v>
      </c>
      <c r="AI110">
        <f t="shared" si="177"/>
        <v>56.326941498818762</v>
      </c>
      <c r="AJ110">
        <f t="shared" si="178"/>
        <v>-7.7248394064962422E-2</v>
      </c>
      <c r="AK110">
        <f t="shared" si="179"/>
        <v>337.96169313485188</v>
      </c>
      <c r="AL110">
        <f t="shared" si="180"/>
        <v>-0.2703693851129606</v>
      </c>
      <c r="AM110">
        <f>IF($H110&lt;=$C$12,$H110*MIN($C$36,$C$46)+$I101,"")</f>
        <v>4.0000002962963556E-3</v>
      </c>
      <c r="AN110">
        <f t="shared" si="181"/>
        <v>56.326819996132329</v>
      </c>
      <c r="AO110">
        <f t="shared" si="182"/>
        <v>-0.22530770556579363</v>
      </c>
      <c r="AP110">
        <f t="shared" si="183"/>
        <v>337.96129548962267</v>
      </c>
      <c r="AQ110">
        <f t="shared" si="184"/>
        <v>-0.78857711551308229</v>
      </c>
      <c r="AR110">
        <f>IF($H110&lt;=$C$12,$H110*MIN($C$36,$C$47)+$I101,"")</f>
        <v>2.74285723839068E-3</v>
      </c>
      <c r="AS110">
        <f t="shared" si="185"/>
        <v>56.326892942693426</v>
      </c>
      <c r="AT110">
        <f t="shared" si="186"/>
        <v>-0.15449675786116768</v>
      </c>
      <c r="AU110">
        <f t="shared" si="187"/>
        <v>337.96153422388073</v>
      </c>
      <c r="AV110">
        <f t="shared" si="188"/>
        <v>-0.54073869959881793</v>
      </c>
    </row>
    <row r="111" spans="1:48" x14ac:dyDescent="0.25">
      <c r="H111">
        <v>7</v>
      </c>
      <c r="I111" t="str">
        <f>IF($H111&lt;=$C$12,$H111*MIN($C$36,$C$44)+$I101,"")</f>
        <v/>
      </c>
      <c r="J111" t="str">
        <f t="shared" si="157"/>
        <v/>
      </c>
      <c r="K111" t="str">
        <f t="shared" si="158"/>
        <v/>
      </c>
      <c r="L111" t="str">
        <f t="shared" si="159"/>
        <v/>
      </c>
      <c r="M111" t="str">
        <f t="shared" si="160"/>
        <v/>
      </c>
      <c r="N111" t="str">
        <f>IF($H111&lt;=$C$12,$H111*MIN($C$36,$C$45)+$I101,"")</f>
        <v/>
      </c>
      <c r="O111" t="str">
        <f t="shared" si="161"/>
        <v/>
      </c>
      <c r="P111" t="str">
        <f t="shared" si="162"/>
        <v/>
      </c>
      <c r="Q111" t="str">
        <f t="shared" si="163"/>
        <v/>
      </c>
      <c r="R111" t="str">
        <f t="shared" si="164"/>
        <v/>
      </c>
      <c r="S111" t="str">
        <f>IF($H111&lt;=$C$12,$H111*MIN($C$36,$C$46)+$I101,"")</f>
        <v/>
      </c>
      <c r="T111" t="str">
        <f t="shared" si="165"/>
        <v/>
      </c>
      <c r="U111" t="str">
        <f t="shared" si="166"/>
        <v/>
      </c>
      <c r="V111" t="str">
        <f t="shared" si="167"/>
        <v/>
      </c>
      <c r="W111" t="str">
        <f t="shared" si="168"/>
        <v/>
      </c>
      <c r="X111" t="str">
        <f>IF($H111&lt;=$C$12,$H111*MIN($C$36,$C$47)+$I101,"")</f>
        <v/>
      </c>
      <c r="Y111" t="str">
        <f t="shared" si="169"/>
        <v/>
      </c>
      <c r="Z111" t="str">
        <f t="shared" si="170"/>
        <v/>
      </c>
      <c r="AA111" t="str">
        <f t="shared" si="171"/>
        <v/>
      </c>
      <c r="AB111" t="str">
        <f t="shared" si="172"/>
        <v/>
      </c>
      <c r="AC111" t="str">
        <f>IF($H111&lt;=$C$12,$H111*MIN($C$36,$C$44)+$I101,"")</f>
        <v/>
      </c>
      <c r="AD111" t="str">
        <f t="shared" si="173"/>
        <v/>
      </c>
      <c r="AE111" t="str">
        <f t="shared" si="174"/>
        <v/>
      </c>
      <c r="AF111" t="str">
        <f t="shared" si="175"/>
        <v/>
      </c>
      <c r="AG111" t="str">
        <f t="shared" si="176"/>
        <v/>
      </c>
      <c r="AH111" t="str">
        <f>IF($H111&lt;=$C$12,$H111*MIN($C$36,$C$45)+$I101,"")</f>
        <v/>
      </c>
      <c r="AI111" t="str">
        <f t="shared" si="177"/>
        <v/>
      </c>
      <c r="AJ111" t="str">
        <f t="shared" si="178"/>
        <v/>
      </c>
      <c r="AK111" t="str">
        <f t="shared" si="179"/>
        <v/>
      </c>
      <c r="AL111" t="str">
        <f t="shared" si="180"/>
        <v/>
      </c>
      <c r="AM111" t="str">
        <f>IF($H111&lt;=$C$12,$H111*MIN($C$36,$C$46)+$I101,"")</f>
        <v/>
      </c>
      <c r="AN111" t="str">
        <f t="shared" si="181"/>
        <v/>
      </c>
      <c r="AO111" t="str">
        <f t="shared" si="182"/>
        <v/>
      </c>
      <c r="AP111" t="str">
        <f t="shared" si="183"/>
        <v/>
      </c>
      <c r="AQ111" t="str">
        <f t="shared" si="184"/>
        <v/>
      </c>
      <c r="AR111" t="str">
        <f>IF($H111&lt;=$C$12,$H111*MIN($C$36,$C$47)+$I101,"")</f>
        <v/>
      </c>
      <c r="AS111" t="str">
        <f t="shared" si="185"/>
        <v/>
      </c>
      <c r="AT111" t="str">
        <f t="shared" si="186"/>
        <v/>
      </c>
      <c r="AU111" t="str">
        <f t="shared" si="187"/>
        <v/>
      </c>
      <c r="AV111" t="str">
        <f t="shared" si="188"/>
        <v/>
      </c>
    </row>
    <row r="112" spans="1:48" x14ac:dyDescent="0.25">
      <c r="H112">
        <v>8</v>
      </c>
      <c r="I112" t="str">
        <f>IF($H112&lt;=$C$12,$H112*MIN($C$36,$C$44)+$I101,"")</f>
        <v/>
      </c>
      <c r="J112" t="str">
        <f t="shared" si="157"/>
        <v/>
      </c>
      <c r="K112" t="str">
        <f t="shared" si="158"/>
        <v/>
      </c>
      <c r="L112" t="str">
        <f t="shared" si="159"/>
        <v/>
      </c>
      <c r="M112" t="str">
        <f t="shared" si="160"/>
        <v/>
      </c>
      <c r="N112" t="str">
        <f>IF($H112&lt;=$C$12,$H112*MIN($C$36,$C$45)+$I101,"")</f>
        <v/>
      </c>
      <c r="O112" t="str">
        <f t="shared" si="161"/>
        <v/>
      </c>
      <c r="P112" t="str">
        <f t="shared" si="162"/>
        <v/>
      </c>
      <c r="Q112" t="str">
        <f t="shared" si="163"/>
        <v/>
      </c>
      <c r="R112" t="str">
        <f t="shared" si="164"/>
        <v/>
      </c>
      <c r="S112" t="str">
        <f>IF($H112&lt;=$C$12,$H112*MIN($C$36,$C$46)+$I101,"")</f>
        <v/>
      </c>
      <c r="T112" t="str">
        <f t="shared" si="165"/>
        <v/>
      </c>
      <c r="U112" t="str">
        <f t="shared" si="166"/>
        <v/>
      </c>
      <c r="V112" t="str">
        <f t="shared" si="167"/>
        <v/>
      </c>
      <c r="W112" t="str">
        <f t="shared" si="168"/>
        <v/>
      </c>
      <c r="X112" t="str">
        <f>IF($H112&lt;=$C$12,$H112*MIN($C$36,$C$47)+$I101,"")</f>
        <v/>
      </c>
      <c r="Y112" t="str">
        <f t="shared" si="169"/>
        <v/>
      </c>
      <c r="Z112" t="str">
        <f t="shared" si="170"/>
        <v/>
      </c>
      <c r="AA112" t="str">
        <f t="shared" si="171"/>
        <v/>
      </c>
      <c r="AB112" t="str">
        <f t="shared" si="172"/>
        <v/>
      </c>
      <c r="AC112" t="str">
        <f>IF($H112&lt;=$C$12,$H112*MIN($C$36,$C$44)+$I101,"")</f>
        <v/>
      </c>
      <c r="AD112" t="str">
        <f t="shared" si="173"/>
        <v/>
      </c>
      <c r="AE112" t="str">
        <f t="shared" si="174"/>
        <v/>
      </c>
      <c r="AF112" t="str">
        <f t="shared" si="175"/>
        <v/>
      </c>
      <c r="AG112" t="str">
        <f t="shared" si="176"/>
        <v/>
      </c>
      <c r="AH112" t="str">
        <f>IF($H112&lt;=$C$12,$H112*MIN($C$36,$C$45)+$I101,"")</f>
        <v/>
      </c>
      <c r="AI112" t="str">
        <f t="shared" si="177"/>
        <v/>
      </c>
      <c r="AJ112" t="str">
        <f t="shared" si="178"/>
        <v/>
      </c>
      <c r="AK112" t="str">
        <f t="shared" si="179"/>
        <v/>
      </c>
      <c r="AL112" t="str">
        <f t="shared" si="180"/>
        <v/>
      </c>
      <c r="AM112" t="str">
        <f>IF($H112&lt;=$C$12,$H112*MIN($C$36,$C$46)+$I101,"")</f>
        <v/>
      </c>
      <c r="AN112" t="str">
        <f t="shared" si="181"/>
        <v/>
      </c>
      <c r="AO112" t="str">
        <f t="shared" si="182"/>
        <v/>
      </c>
      <c r="AP112" t="str">
        <f t="shared" si="183"/>
        <v/>
      </c>
      <c r="AQ112" t="str">
        <f t="shared" si="184"/>
        <v/>
      </c>
      <c r="AR112" t="str">
        <f>IF($H112&lt;=$C$12,$H112*MIN($C$36,$C$47)+$I101,"")</f>
        <v/>
      </c>
      <c r="AS112" t="str">
        <f t="shared" si="185"/>
        <v/>
      </c>
      <c r="AT112" t="str">
        <f t="shared" si="186"/>
        <v/>
      </c>
      <c r="AU112" t="str">
        <f t="shared" si="187"/>
        <v/>
      </c>
      <c r="AV112" t="str">
        <f t="shared" si="188"/>
        <v/>
      </c>
    </row>
    <row r="113" spans="1:48" x14ac:dyDescent="0.25">
      <c r="H113">
        <v>9</v>
      </c>
      <c r="I113" t="str">
        <f>IF($H113&lt;=$C$12,$H113*MIN($C$36,$C$44)+$I101,"")</f>
        <v/>
      </c>
      <c r="J113" t="str">
        <f t="shared" si="157"/>
        <v/>
      </c>
      <c r="K113" t="str">
        <f t="shared" si="158"/>
        <v/>
      </c>
      <c r="L113" t="str">
        <f t="shared" si="159"/>
        <v/>
      </c>
      <c r="M113" t="str">
        <f t="shared" si="160"/>
        <v/>
      </c>
      <c r="N113" t="str">
        <f>IF($H113&lt;=$C$12,$H113*MIN($C$36,$C$45)+$I101,"")</f>
        <v/>
      </c>
      <c r="O113" t="str">
        <f t="shared" si="161"/>
        <v/>
      </c>
      <c r="P113" t="str">
        <f t="shared" si="162"/>
        <v/>
      </c>
      <c r="Q113" t="str">
        <f t="shared" si="163"/>
        <v/>
      </c>
      <c r="R113" t="str">
        <f t="shared" si="164"/>
        <v/>
      </c>
      <c r="S113" t="str">
        <f>IF($H113&lt;=$C$12,$H113*MIN($C$36,$C$46)+$I101,"")</f>
        <v/>
      </c>
      <c r="T113" t="str">
        <f t="shared" si="165"/>
        <v/>
      </c>
      <c r="U113" t="str">
        <f t="shared" si="166"/>
        <v/>
      </c>
      <c r="V113" t="str">
        <f t="shared" si="167"/>
        <v/>
      </c>
      <c r="W113" t="str">
        <f t="shared" si="168"/>
        <v/>
      </c>
      <c r="X113" t="str">
        <f>IF($H113&lt;=$C$12,$H113*MIN($C$36,$C$47)+$I101,"")</f>
        <v/>
      </c>
      <c r="Y113" t="str">
        <f t="shared" si="169"/>
        <v/>
      </c>
      <c r="Z113" t="str">
        <f t="shared" si="170"/>
        <v/>
      </c>
      <c r="AA113" t="str">
        <f t="shared" si="171"/>
        <v/>
      </c>
      <c r="AB113" t="str">
        <f t="shared" si="172"/>
        <v/>
      </c>
      <c r="AC113" t="str">
        <f>IF($H113&lt;=$C$12,$H113*MIN($C$36,$C$44)+$I101,"")</f>
        <v/>
      </c>
      <c r="AD113" t="str">
        <f t="shared" si="173"/>
        <v/>
      </c>
      <c r="AE113" t="str">
        <f t="shared" si="174"/>
        <v/>
      </c>
      <c r="AF113" t="str">
        <f t="shared" si="175"/>
        <v/>
      </c>
      <c r="AG113" t="str">
        <f t="shared" si="176"/>
        <v/>
      </c>
      <c r="AH113" t="str">
        <f>IF($H113&lt;=$C$12,$H113*MIN($C$36,$C$45)+$I101,"")</f>
        <v/>
      </c>
      <c r="AI113" t="str">
        <f t="shared" si="177"/>
        <v/>
      </c>
      <c r="AJ113" t="str">
        <f t="shared" si="178"/>
        <v/>
      </c>
      <c r="AK113" t="str">
        <f t="shared" si="179"/>
        <v/>
      </c>
      <c r="AL113" t="str">
        <f t="shared" si="180"/>
        <v/>
      </c>
      <c r="AM113" t="str">
        <f>IF($H113&lt;=$C$12,$H113*MIN($C$36,$C$46)+$I101,"")</f>
        <v/>
      </c>
      <c r="AN113" t="str">
        <f t="shared" si="181"/>
        <v/>
      </c>
      <c r="AO113" t="str">
        <f t="shared" si="182"/>
        <v/>
      </c>
      <c r="AP113" t="str">
        <f t="shared" si="183"/>
        <v/>
      </c>
      <c r="AQ113" t="str">
        <f t="shared" si="184"/>
        <v/>
      </c>
      <c r="AR113" t="str">
        <f>IF($H113&lt;=$C$12,$H113*MIN($C$36,$C$47)+$I101,"")</f>
        <v/>
      </c>
      <c r="AS113" t="str">
        <f t="shared" si="185"/>
        <v/>
      </c>
      <c r="AT113" t="str">
        <f t="shared" si="186"/>
        <v/>
      </c>
      <c r="AU113" t="str">
        <f t="shared" si="187"/>
        <v/>
      </c>
      <c r="AV113" t="str">
        <f t="shared" si="188"/>
        <v/>
      </c>
    </row>
    <row r="114" spans="1:48" x14ac:dyDescent="0.25">
      <c r="H114">
        <v>10</v>
      </c>
      <c r="I114" t="str">
        <f>IF($H114&lt;=$C$12,$H114*MIN($C$36,$C$44)+$I101,"")</f>
        <v/>
      </c>
      <c r="J114" t="str">
        <f t="shared" si="157"/>
        <v/>
      </c>
      <c r="K114" t="str">
        <f t="shared" si="158"/>
        <v/>
      </c>
      <c r="L114" t="str">
        <f t="shared" si="159"/>
        <v/>
      </c>
      <c r="M114" t="str">
        <f t="shared" si="160"/>
        <v/>
      </c>
      <c r="N114" t="str">
        <f>IF($H114&lt;=$C$12,$H114*MIN($C$36,$C$45)+$I101,"")</f>
        <v/>
      </c>
      <c r="O114" t="str">
        <f t="shared" si="161"/>
        <v/>
      </c>
      <c r="P114" t="str">
        <f t="shared" si="162"/>
        <v/>
      </c>
      <c r="Q114" t="str">
        <f t="shared" si="163"/>
        <v/>
      </c>
      <c r="R114" t="str">
        <f t="shared" si="164"/>
        <v/>
      </c>
      <c r="S114" t="str">
        <f>IF($H114&lt;=$C$12,$H114*MIN($C$36,$C$46)+$I101,"")</f>
        <v/>
      </c>
      <c r="T114" t="str">
        <f t="shared" si="165"/>
        <v/>
      </c>
      <c r="U114" t="str">
        <f t="shared" si="166"/>
        <v/>
      </c>
      <c r="V114" t="str">
        <f t="shared" si="167"/>
        <v/>
      </c>
      <c r="W114" t="str">
        <f t="shared" si="168"/>
        <v/>
      </c>
      <c r="X114" t="str">
        <f>IF($H114&lt;=$C$12,$H114*MIN($C$36,$C$47)+$I101,"")</f>
        <v/>
      </c>
      <c r="Y114" t="str">
        <f t="shared" si="169"/>
        <v/>
      </c>
      <c r="Z114" t="str">
        <f t="shared" si="170"/>
        <v/>
      </c>
      <c r="AA114" t="str">
        <f t="shared" si="171"/>
        <v/>
      </c>
      <c r="AB114" t="str">
        <f t="shared" si="172"/>
        <v/>
      </c>
      <c r="AC114" t="str">
        <f>IF($H114&lt;=$C$12,$H114*MIN($C$36,$C$44)+$I101,"")</f>
        <v/>
      </c>
      <c r="AD114" t="str">
        <f t="shared" si="173"/>
        <v/>
      </c>
      <c r="AE114" t="str">
        <f t="shared" si="174"/>
        <v/>
      </c>
      <c r="AF114" t="str">
        <f t="shared" si="175"/>
        <v/>
      </c>
      <c r="AG114" t="str">
        <f t="shared" si="176"/>
        <v/>
      </c>
      <c r="AH114" t="str">
        <f>IF($H114&lt;=$C$12,$H114*MIN($C$36,$C$45)+$I101,"")</f>
        <v/>
      </c>
      <c r="AI114" t="str">
        <f t="shared" si="177"/>
        <v/>
      </c>
      <c r="AJ114" t="str">
        <f t="shared" si="178"/>
        <v/>
      </c>
      <c r="AK114" t="str">
        <f t="shared" si="179"/>
        <v/>
      </c>
      <c r="AL114" t="str">
        <f t="shared" si="180"/>
        <v/>
      </c>
      <c r="AM114" t="str">
        <f>IF($H114&lt;=$C$12,$H114*MIN($C$36,$C$46)+$I101,"")</f>
        <v/>
      </c>
      <c r="AN114" t="str">
        <f t="shared" si="181"/>
        <v/>
      </c>
      <c r="AO114" t="str">
        <f t="shared" si="182"/>
        <v/>
      </c>
      <c r="AP114" t="str">
        <f t="shared" si="183"/>
        <v/>
      </c>
      <c r="AQ114" t="str">
        <f t="shared" si="184"/>
        <v/>
      </c>
      <c r="AR114" t="str">
        <f>IF($H114&lt;=$C$12,$H114*MIN($C$36,$C$47)+$I101,"")</f>
        <v/>
      </c>
      <c r="AS114" t="str">
        <f t="shared" si="185"/>
        <v/>
      </c>
      <c r="AT114" t="str">
        <f t="shared" si="186"/>
        <v/>
      </c>
      <c r="AU114" t="str">
        <f t="shared" si="187"/>
        <v/>
      </c>
      <c r="AV114" t="str">
        <f t="shared" si="188"/>
        <v/>
      </c>
    </row>
    <row r="116" spans="1:48" x14ac:dyDescent="0.25">
      <c r="A116" s="14" t="s">
        <v>122</v>
      </c>
      <c r="B116" s="14"/>
      <c r="C116">
        <v>10</v>
      </c>
      <c r="D116" t="s">
        <v>9</v>
      </c>
      <c r="I116" s="15" t="s">
        <v>118</v>
      </c>
    </row>
    <row r="117" spans="1:48" x14ac:dyDescent="0.25">
      <c r="A117" t="s">
        <v>124</v>
      </c>
      <c r="B117"/>
      <c r="C117">
        <v>5</v>
      </c>
      <c r="D117" t="s">
        <v>2</v>
      </c>
      <c r="I117" s="41">
        <f>C124</f>
        <v>6.3522510648989612E-5</v>
      </c>
      <c r="U117" s="9" t="s">
        <v>109</v>
      </c>
      <c r="AB117" s="11" t="s">
        <v>119</v>
      </c>
      <c r="AC117" t="s">
        <v>120</v>
      </c>
      <c r="AO117" s="9" t="s">
        <v>109</v>
      </c>
    </row>
    <row r="118" spans="1:48" x14ac:dyDescent="0.25">
      <c r="A118" t="s">
        <v>125</v>
      </c>
      <c r="B118"/>
      <c r="C118">
        <v>30</v>
      </c>
      <c r="D118" t="s">
        <v>2</v>
      </c>
      <c r="H118" s="11"/>
      <c r="I118" s="44" t="str">
        <f>CONCATENATE("2 Segment (",$C116,"N Load)")</f>
        <v>2 Segment (10N Load)</v>
      </c>
      <c r="J118" s="45"/>
      <c r="K118" s="45"/>
      <c r="L118" s="45"/>
      <c r="M118" s="46"/>
      <c r="N118" s="44" t="s">
        <v>73</v>
      </c>
      <c r="O118" s="45"/>
      <c r="P118" s="45"/>
      <c r="Q118" s="45"/>
      <c r="R118" s="46"/>
      <c r="S118" s="44" t="str">
        <f>CONCATENATE("3 Segment (",$C116,"N Load)")</f>
        <v>3 Segment (10N Load)</v>
      </c>
      <c r="T118" s="45"/>
      <c r="U118" s="45"/>
      <c r="V118" s="45"/>
      <c r="W118" s="46"/>
      <c r="X118" s="44" t="s">
        <v>75</v>
      </c>
      <c r="Y118" s="45"/>
      <c r="Z118" s="45"/>
      <c r="AA118" s="45"/>
      <c r="AB118" s="46"/>
      <c r="AC118" s="44" t="str">
        <f>CONCATENATE("2 Segment (",$C116,"N Load)")</f>
        <v>2 Segment (10N Load)</v>
      </c>
      <c r="AD118" s="45"/>
      <c r="AE118" s="45"/>
      <c r="AF118" s="45"/>
      <c r="AG118" s="46"/>
      <c r="AH118" s="44" t="s">
        <v>73</v>
      </c>
      <c r="AI118" s="45"/>
      <c r="AJ118" s="45"/>
      <c r="AK118" s="45"/>
      <c r="AL118" s="46"/>
      <c r="AM118" s="44" t="str">
        <f>CONCATENATE("3 Segment (",$C116,"N Load)")</f>
        <v>3 Segment (10N Load)</v>
      </c>
      <c r="AN118" s="45"/>
      <c r="AO118" s="45"/>
      <c r="AP118" s="45"/>
      <c r="AQ118" s="46"/>
      <c r="AR118" s="44" t="s">
        <v>75</v>
      </c>
      <c r="AS118" s="45"/>
      <c r="AT118" s="45"/>
      <c r="AU118" s="45"/>
      <c r="AV118" s="46"/>
    </row>
    <row r="119" spans="1:48" x14ac:dyDescent="0.25">
      <c r="A119" t="s">
        <v>126</v>
      </c>
      <c r="B119"/>
      <c r="C119">
        <v>4.76</v>
      </c>
      <c r="D119" t="s">
        <v>2</v>
      </c>
      <c r="H119" s="13" t="s">
        <v>40</v>
      </c>
      <c r="I119" s="22" t="s">
        <v>68</v>
      </c>
      <c r="J119" s="23" t="s">
        <v>69</v>
      </c>
      <c r="K119" s="23" t="s">
        <v>70</v>
      </c>
      <c r="L119" s="24" t="s">
        <v>71</v>
      </c>
      <c r="M119" s="24" t="s">
        <v>72</v>
      </c>
      <c r="N119" s="22" t="s">
        <v>68</v>
      </c>
      <c r="O119" s="23" t="s">
        <v>69</v>
      </c>
      <c r="P119" s="23" t="s">
        <v>70</v>
      </c>
      <c r="Q119" s="24" t="s">
        <v>71</v>
      </c>
      <c r="R119" s="24" t="s">
        <v>72</v>
      </c>
      <c r="S119" s="22" t="s">
        <v>68</v>
      </c>
      <c r="T119" s="23" t="s">
        <v>69</v>
      </c>
      <c r="U119" s="23" t="s">
        <v>70</v>
      </c>
      <c r="V119" s="24" t="s">
        <v>71</v>
      </c>
      <c r="W119" s="24" t="s">
        <v>72</v>
      </c>
      <c r="X119" s="22" t="s">
        <v>68</v>
      </c>
      <c r="Y119" s="23" t="s">
        <v>69</v>
      </c>
      <c r="Z119" s="23" t="s">
        <v>70</v>
      </c>
      <c r="AA119" s="24" t="s">
        <v>71</v>
      </c>
      <c r="AB119" s="24" t="s">
        <v>72</v>
      </c>
      <c r="AC119" s="22" t="s">
        <v>68</v>
      </c>
      <c r="AD119" s="23" t="s">
        <v>69</v>
      </c>
      <c r="AE119" s="23" t="s">
        <v>70</v>
      </c>
      <c r="AF119" s="24" t="s">
        <v>71</v>
      </c>
      <c r="AG119" s="24" t="s">
        <v>72</v>
      </c>
      <c r="AH119" s="22" t="s">
        <v>68</v>
      </c>
      <c r="AI119" s="23" t="s">
        <v>69</v>
      </c>
      <c r="AJ119" s="23" t="s">
        <v>70</v>
      </c>
      <c r="AK119" s="24" t="s">
        <v>71</v>
      </c>
      <c r="AL119" s="24" t="s">
        <v>72</v>
      </c>
      <c r="AM119" s="22" t="s">
        <v>68</v>
      </c>
      <c r="AN119" s="23" t="s">
        <v>69</v>
      </c>
      <c r="AO119" s="23" t="s">
        <v>70</v>
      </c>
      <c r="AP119" s="24" t="s">
        <v>71</v>
      </c>
      <c r="AQ119" s="24" t="s">
        <v>72</v>
      </c>
      <c r="AR119" s="22" t="s">
        <v>68</v>
      </c>
      <c r="AS119" s="23" t="s">
        <v>69</v>
      </c>
      <c r="AT119" s="23" t="s">
        <v>70</v>
      </c>
      <c r="AU119" s="24" t="s">
        <v>71</v>
      </c>
      <c r="AV119" s="24" t="s">
        <v>72</v>
      </c>
    </row>
    <row r="120" spans="1:48" x14ac:dyDescent="0.25">
      <c r="A120" t="s">
        <v>129</v>
      </c>
      <c r="B120"/>
      <c r="C120">
        <v>68900</v>
      </c>
      <c r="D120" t="s">
        <v>117</v>
      </c>
      <c r="H120">
        <v>0</v>
      </c>
      <c r="I120">
        <f>IF($H120&lt;=$C$12,$H120*MIN($C$36,$C$44)+$I117,"")</f>
        <v>6.3522510648989612E-5</v>
      </c>
      <c r="J120">
        <f>IF($H120&lt;=$C$12,0,"")</f>
        <v>0</v>
      </c>
      <c r="K120">
        <f>IF($H120&lt;=$C$12,0,"")</f>
        <v>0</v>
      </c>
      <c r="L120">
        <f>IF($H120&lt;=$C$12,0,"")</f>
        <v>0</v>
      </c>
      <c r="M120">
        <f>IF($H120&lt;=$C$12,0,"")</f>
        <v>0</v>
      </c>
      <c r="N120">
        <f>IF($H120&lt;=$C$12,$H120*MIN($C$36,$C$45)+$I117,"")</f>
        <v>6.3522510648989612E-5</v>
      </c>
      <c r="O120">
        <f>IF($H120&lt;=$C$12,0,"")</f>
        <v>0</v>
      </c>
      <c r="P120">
        <f>IF($H120&lt;=$C$12,0,"")</f>
        <v>0</v>
      </c>
      <c r="Q120">
        <f>IF($H120&lt;=$C$12,0,"")</f>
        <v>0</v>
      </c>
      <c r="R120">
        <f>IF($H120&lt;=$C$12,0,"")</f>
        <v>0</v>
      </c>
      <c r="S120">
        <f>IF($H120&lt;=$C$12,$H120*MIN($C$36,$C$46)+$I117,"")</f>
        <v>6.3522510648989612E-5</v>
      </c>
      <c r="T120">
        <f>IF($H120&lt;=$C$12,0,"")</f>
        <v>0</v>
      </c>
      <c r="U120">
        <f>IF($H120&lt;=$C$12,0,"")</f>
        <v>0</v>
      </c>
      <c r="V120">
        <f>IF($H120&lt;=$C$12,0,"")</f>
        <v>0</v>
      </c>
      <c r="W120">
        <f>IF($H120&lt;=$C$12,0,"")</f>
        <v>0</v>
      </c>
      <c r="X120">
        <f>IF($H120&lt;=$C$12,$H120*MIN($C$36,$C$47)+$I117,"")</f>
        <v>6.3522510648989612E-5</v>
      </c>
      <c r="Y120">
        <f>IF($H120&lt;=$C$12,0,"")</f>
        <v>0</v>
      </c>
      <c r="Z120">
        <f>IF($H120&lt;=$C$12,0,"")</f>
        <v>0</v>
      </c>
      <c r="AA120">
        <f>IF($H120&lt;=$C$12,0,"")</f>
        <v>0</v>
      </c>
      <c r="AB120">
        <f>IF($H120&lt;=$C$12,0,"")</f>
        <v>0</v>
      </c>
      <c r="AC120">
        <f>IF($H120&lt;=$C$12,$H120*MIN($C$36,$C$44)+$I117,"")</f>
        <v>6.3522510648989612E-5</v>
      </c>
      <c r="AD120">
        <f>IF($H120&lt;=$C$12,0,"")</f>
        <v>0</v>
      </c>
      <c r="AE120">
        <f>IF($H120&lt;=$C$12,0,"")</f>
        <v>0</v>
      </c>
      <c r="AF120">
        <f>IF($H120&lt;=$C$12,0,"")</f>
        <v>0</v>
      </c>
      <c r="AG120">
        <f>IF($H120&lt;=$C$12,0,"")</f>
        <v>0</v>
      </c>
      <c r="AH120">
        <f>IF($H120&lt;=$C$12,$H120*MIN($C$36,$C$45)+$I117,"")</f>
        <v>6.3522510648989612E-5</v>
      </c>
      <c r="AI120">
        <f>IF($H120&lt;=$C$12,0,"")</f>
        <v>0</v>
      </c>
      <c r="AJ120">
        <f>IF($H120&lt;=$C$12,0,"")</f>
        <v>0</v>
      </c>
      <c r="AK120">
        <f>IF($H120&lt;=$C$12,0,"")</f>
        <v>0</v>
      </c>
      <c r="AL120">
        <f>IF($H120&lt;=$C$12,0,"")</f>
        <v>0</v>
      </c>
      <c r="AM120">
        <f>IF($H120&lt;=$C$12,$H120*MIN($C$36,$C$46)+$I117,"")</f>
        <v>6.3522510648989612E-5</v>
      </c>
      <c r="AN120">
        <f>IF($H120&lt;=$C$12,0,"")</f>
        <v>0</v>
      </c>
      <c r="AO120">
        <f>IF($H120&lt;=$C$12,0,"")</f>
        <v>0</v>
      </c>
      <c r="AP120">
        <f>IF($H120&lt;=$C$12,0,"")</f>
        <v>0</v>
      </c>
      <c r="AQ120">
        <f>IF($H120&lt;=$C$12,0,"")</f>
        <v>0</v>
      </c>
      <c r="AR120">
        <f>IF($H120&lt;=$C$12,$H120*MIN($C$36,$C$47)+$I117,"")</f>
        <v>6.3522510648989612E-5</v>
      </c>
      <c r="AS120">
        <f>IF($H120&lt;=$C$12,0,"")</f>
        <v>0</v>
      </c>
      <c r="AT120">
        <f>IF($H120&lt;=$C$12,0,"")</f>
        <v>0</v>
      </c>
      <c r="AU120">
        <f>IF($H120&lt;=$C$12,0,"")</f>
        <v>0</v>
      </c>
      <c r="AV120">
        <f>IF($H120&lt;=$C$12,0,"")</f>
        <v>0</v>
      </c>
    </row>
    <row r="121" spans="1:48" x14ac:dyDescent="0.25">
      <c r="A121" t="s">
        <v>130</v>
      </c>
      <c r="B121"/>
      <c r="C121" s="2">
        <f>C117*C119^3/12</f>
        <v>44.937573333333326</v>
      </c>
      <c r="D121" s="2" t="s">
        <v>80</v>
      </c>
      <c r="H121">
        <v>1</v>
      </c>
      <c r="I121">
        <f>IF($H121&lt;=$C$12,$H121*MIN($C$36,$C$44)+$I117,"")</f>
        <v>5.9685586926627688E-4</v>
      </c>
      <c r="J121">
        <f>IF($H121&lt;=$C$12,$C$4*COS($C$10)*COS(MIN($C$36,$C$44)+$I117)+K120*SIN(MIN($C$36,$C$44)+$I117),"")</f>
        <v>2.2175963642254319</v>
      </c>
      <c r="K121">
        <f>IF($H121&lt;=$C$12,-$C$4*COS($C$10)*SIN(MIN($C$36,$C$44)+$I117)+K120*COS(MIN($C$36,$C$44)+$I117),"")</f>
        <v>-1.3235855628215278E-3</v>
      </c>
      <c r="L121">
        <f>IF($H121&lt;=$C$12,L120+J121,"")</f>
        <v>2.2175963642254319</v>
      </c>
      <c r="M121">
        <f>IF($H121&lt;=$C$12,M120+K121,"")</f>
        <v>-1.3235855628215278E-3</v>
      </c>
      <c r="N121">
        <f>IF($H121&lt;=$C$12,$H121*MIN($C$36,$C$45)+$I117,"")</f>
        <v>2.9209394121070009E-4</v>
      </c>
      <c r="O121">
        <f>IF($H121&lt;=$C$12,$C$4*COS($C$10)*COS(MIN($C$36,$C$44)+$I117)+P120*SIN(MIN($C$36,$C$44)+$I117),"")</f>
        <v>2.2175963642254319</v>
      </c>
      <c r="P121">
        <f>IF($H121&lt;=$C$12,-$C$4*COS($C$10)*SIN(MIN($C$36,$C$44)+$I117)+P120*COS(MIN($C$36,$C$44)+$I117),"")</f>
        <v>-1.3235855628215278E-3</v>
      </c>
      <c r="Q121">
        <f>IF($H121&lt;=$C$12,Q120+O121,"")</f>
        <v>2.2175963642254319</v>
      </c>
      <c r="R121">
        <f>IF($H121&lt;=$C$12,R120+P121,"")</f>
        <v>-1.3235855628215278E-3</v>
      </c>
      <c r="S121">
        <f>IF($H121&lt;=$C$12,$H121*MIN($C$36,$C$46)+$I117,"")</f>
        <v>7.301892266983823E-4</v>
      </c>
      <c r="T121">
        <f>IF($H121&lt;=$C$12,$C$4*COS($C$10)*COS(MIN($C$36,$C$46)+$I117)+U120*SIN(MIN($C$36,$C$46)+$I117),"")</f>
        <v>2.2175961680353509</v>
      </c>
      <c r="U121">
        <f>IF($H121&lt;=$C$12,-$C$4*COS($C$10)*SIN(MIN($C$36,$C$46)+$I117)+U120*COS(MIN($C$36,$C$46)+$I117),"")</f>
        <v>-1.6192651188516375E-3</v>
      </c>
      <c r="V121">
        <f>IF($H121&lt;=$C$12,V120+T121,"")</f>
        <v>2.2175961680353509</v>
      </c>
      <c r="W121">
        <f>IF($H121&lt;=$C$12,W120+U121,"")</f>
        <v>-1.6192651188516375E-3</v>
      </c>
      <c r="X121">
        <f>IF($H121&lt;=$C$12,$H121*MIN($C$36,$C$47)+$I117,"")</f>
        <v>5.2066538371410293E-4</v>
      </c>
      <c r="Y121">
        <f>IF($H121&lt;=$C$12,$C$4*COS($C$10)*COS(MIN($C$36,$C$47)+$I117)+Z120*SIN(MIN($C$36,$C$47)+$I117),"")</f>
        <v>2.2175964586334964</v>
      </c>
      <c r="Z121">
        <f>IF($H121&lt;=$C$12,-$C$4*COS($C$10)*SIN(MIN($C$36,$C$47)+$I117)+Z120*COS(MIN($C$36,$C$47)+$I117),"")</f>
        <v>-1.1546258153942242E-3</v>
      </c>
      <c r="AA121">
        <f>IF($H121&lt;=$C$12,AA120+Y121,"")</f>
        <v>2.2175964586334964</v>
      </c>
      <c r="AB121">
        <f>IF($H121&lt;=$C$12,AB120+Z121,"")</f>
        <v>-1.1546258153942242E-3</v>
      </c>
      <c r="AC121">
        <f>IF($H121&lt;=$C$12,$H121*MIN($C$36,$C$44)+$I117,"")</f>
        <v>5.9685586926627688E-4</v>
      </c>
      <c r="AD121">
        <f>IF($H121&lt;=$C$12,$E$4*COS($C$10)*COS(MIN($C$36,$C$44)+$I117)+AE120*SIN(MIN($C$36,$C$44)+$I117),"")</f>
        <v>56.326947651325966</v>
      </c>
      <c r="AE121">
        <f>IF($H121&lt;=$C$12,-$E$4*COS($C$10)*SIN(MIN($C$36,$C$44)+$I117)+AE120*COS(MIN($C$36,$C$44)+$I117),"")</f>
        <v>-3.3619073295666803E-2</v>
      </c>
      <c r="AF121">
        <f>IF($H121&lt;=$C$12,AF120+AD121,"")</f>
        <v>56.326947651325966</v>
      </c>
      <c r="AG121">
        <f>IF($H121&lt;=$C$12,AG120+AE121,"")</f>
        <v>-3.3619073295666803E-2</v>
      </c>
      <c r="AH121">
        <f>IF($H121&lt;=$C$12,$H121*MIN($C$36,$C$45)+$I117,"")</f>
        <v>2.9209394121070009E-4</v>
      </c>
      <c r="AI121">
        <f>IF($H121&lt;=$C$12,$E$4*COS($C$10)*COS(MIN($C$36,$C$45)+$I117)+AJ120*SIN(MIN($C$36,$C$45)+$I117),"")</f>
        <v>56.326955281320686</v>
      </c>
      <c r="AJ121">
        <f>IF($H121&lt;=$C$12,-$E$4*COS($C$10)*SIN(MIN($C$36,$C$45)+$I117)+AJ120*COS(MIN($C$36,$C$45)+$I117),"")</f>
        <v>-1.64527628324302E-2</v>
      </c>
      <c r="AK121">
        <f>IF($H121&lt;=$C$12,AK120+AI121,"")</f>
        <v>56.326955281320686</v>
      </c>
      <c r="AL121">
        <f>IF($H121&lt;=$C$12,AL120+AJ121,"")</f>
        <v>-1.64527628324302E-2</v>
      </c>
      <c r="AM121">
        <f>IF($H121&lt;=$C$12,$H121*MIN($C$36,$C$46)+$I117,"")</f>
        <v>7.301892266983823E-4</v>
      </c>
      <c r="AN121">
        <f>IF($H121&lt;=$C$12,$E$4*COS($C$10)*COS(MIN($C$36,$C$46)+$I117)+AO120*SIN(MIN($C$36,$C$46)+$I117),"")</f>
        <v>56.326942668097907</v>
      </c>
      <c r="AO121">
        <f>IF($H121&lt;=$C$12,-$E$4*COS($C$10)*SIN(MIN($C$36,$C$46)+$I117)+AO120*COS(MIN($C$36,$C$46)+$I117),"")</f>
        <v>-4.1129334018831586E-2</v>
      </c>
      <c r="AP121">
        <f>IF($H121&lt;=$C$12,AP120+AN121,"")</f>
        <v>56.326942668097907</v>
      </c>
      <c r="AQ121">
        <f>IF($H121&lt;=$C$12,AQ120+AO121,"")</f>
        <v>-4.1129334018831586E-2</v>
      </c>
      <c r="AR121">
        <f>IF($H121&lt;=$C$12,$H121*MIN($C$36,$C$47)+$I117,"")</f>
        <v>5.2066538371410293E-4</v>
      </c>
      <c r="AS121">
        <f>IF($H121&lt;=$C$12,$E$4*COS($C$10)*COS(MIN($C$36,$C$47)+$I117)+AT120*SIN(MIN($C$36,$C$47)+$I117),"")</f>
        <v>56.326950049290801</v>
      </c>
      <c r="AT121">
        <f>IF($H121&lt;=$C$12,-$E$4*COS($C$10)*SIN(MIN($C$36,$C$47)+$I117)+AT120*COS(MIN($C$36,$C$47)+$I117),"")</f>
        <v>-2.9327495711013292E-2</v>
      </c>
      <c r="AU121">
        <f>IF($H121&lt;=$C$12,AU120+AS121,"")</f>
        <v>56.326950049290801</v>
      </c>
      <c r="AV121">
        <f>IF($H121&lt;=$C$12,AV120+AT121,"")</f>
        <v>-2.9327495711013292E-2</v>
      </c>
    </row>
    <row r="122" spans="1:48" x14ac:dyDescent="0.25">
      <c r="A122" t="s">
        <v>127</v>
      </c>
      <c r="B122"/>
      <c r="C122" s="2">
        <f>C116*C118^3/(48*C120*C121)</f>
        <v>1.8167438070046894E-3</v>
      </c>
      <c r="D122" s="2" t="s">
        <v>2</v>
      </c>
      <c r="H122">
        <v>2</v>
      </c>
      <c r="I122">
        <f>IF($H122&lt;=$C$12,$H122*MIN($C$36,$C$44)+$I117,"")</f>
        <v>1.130189227883564E-3</v>
      </c>
      <c r="J122">
        <f t="shared" ref="J122:J130" si="189">IF($H122&lt;=$C$12,$C$4*COS($C$10)*COS(MIN($C$36,$C$44))+K121*SIN(MIN($C$36,$C$44)),"")</f>
        <v>2.2175957379164881</v>
      </c>
      <c r="K122">
        <f t="shared" ref="K122:K130" si="190">IF($H122&lt;=$C$12,-$C$4*COS($C$10)*SIN(MIN($C$36,$C$44))+K121*COS(MIN($C$36,$C$44)),"")</f>
        <v>-2.506303646162421E-3</v>
      </c>
      <c r="L122">
        <f t="shared" ref="L122:L130" si="191">IF($H122&lt;=$C$12,L121+J122,"")</f>
        <v>4.4351921021419205</v>
      </c>
      <c r="M122">
        <f t="shared" ref="M122:M130" si="192">IF($H122&lt;=$C$12,M121+K122,"")</f>
        <v>-3.8298892089839486E-3</v>
      </c>
      <c r="N122">
        <f>IF($H122&lt;=$C$12,$H122*MIN($C$36,$C$45)+$I117,"")</f>
        <v>5.2066537177241062E-4</v>
      </c>
      <c r="O122">
        <f t="shared" ref="O122:O130" si="193">IF($H122&lt;=$C$12,$C$4*COS($C$10)*COS(MIN($C$36,$C$45))+P121*SIN(MIN($C$36,$C$45)),"")</f>
        <v>2.2175963987574479</v>
      </c>
      <c r="P122">
        <f t="shared" ref="P122:P130" si="194">IF($H122&lt;=$C$12,-$C$4*COS($C$10)*SIN(MIN($C$36,$C$45))+P121*COS(MIN($C$36,$C$45)),"")</f>
        <v>-1.8304647874965965E-3</v>
      </c>
      <c r="Q122">
        <f t="shared" ref="Q122:Q130" si="195">IF($H122&lt;=$C$12,Q121+O122,"")</f>
        <v>4.4351927629828793</v>
      </c>
      <c r="R122">
        <f t="shared" ref="R122:R130" si="196">IF($H122&lt;=$C$12,R121+P122,"")</f>
        <v>-3.1540503503181246E-3</v>
      </c>
      <c r="S122">
        <f>IF($H122&lt;=$C$12,$H122*MIN($C$36,$C$46)+$I117,"")</f>
        <v>1.3968559427477748E-3</v>
      </c>
      <c r="T122">
        <f t="shared" ref="T122:T130" si="197">IF($H122&lt;=$C$12,$C$4*COS($C$10)*COS(MIN($C$36,$C$46))+U121*SIN(MIN($C$36,$C$46)),"")</f>
        <v>2.2175951869109358</v>
      </c>
      <c r="U122">
        <f t="shared" ref="U122:U130" si="198">IF($H122&lt;=$C$12,-$C$4*COS($C$10)*SIN(MIN($C$36,$C$46))+U121*COS(MIN($C$36,$C$46)),"")</f>
        <v>-3.0976625984951373E-3</v>
      </c>
      <c r="V122">
        <f t="shared" ref="V122:V130" si="199">IF($H122&lt;=$C$12,V121+T122,"")</f>
        <v>4.4351913549462871</v>
      </c>
      <c r="W122">
        <f t="shared" ref="W122:W130" si="200">IF($H122&lt;=$C$12,W121+U122,"")</f>
        <v>-4.716927717346775E-3</v>
      </c>
      <c r="X122">
        <f>IF($H122&lt;=$C$12,$H122*MIN($C$36,$C$47)+$I117,"")</f>
        <v>9.7780825677921631E-4</v>
      </c>
      <c r="Y122">
        <f t="shared" ref="Y122:Y130" si="201">IF($H122&lt;=$C$12,$C$4*COS($C$10)*COS(MIN($C$36,$C$47))+Z121*SIN(MIN($C$36,$C$47)),"")</f>
        <v>2.2175959996751606</v>
      </c>
      <c r="Z122">
        <f t="shared" ref="Z122:Z130" si="202">IF($H122&lt;=$C$12,-$C$4*COS($C$10)*SIN(MIN($C$36,$C$47))+Z121*COS(MIN($C$36,$C$47)),"")</f>
        <v>-2.1683842132483337E-3</v>
      </c>
      <c r="AA122">
        <f t="shared" ref="AA122:AA130" si="203">IF($H122&lt;=$C$12,AA121+Y122,"")</f>
        <v>4.4351924583086575</v>
      </c>
      <c r="AB122">
        <f t="shared" ref="AB122:AB130" si="204">IF($H122&lt;=$C$12,AB121+Z122,"")</f>
        <v>-3.3230100286425579E-3</v>
      </c>
      <c r="AC122">
        <f>IF($H122&lt;=$C$12,$H122*MIN($C$36,$C$44)+$I117,"")</f>
        <v>1.130189227883564E-3</v>
      </c>
      <c r="AD122">
        <f t="shared" ref="AD122:AD130" si="205">IF($H122&lt;=$C$12,$E$4*COS($C$10)*COS(MIN($C$36,$C$44))+AE121*SIN(MIN($C$36,$C$44)),"")</f>
        <v>56.326931743078788</v>
      </c>
      <c r="AE122">
        <f t="shared" ref="AE122:AE130" si="206">IF($H122&lt;=$C$12,-$E$4*COS($C$10)*SIN(MIN($C$36,$C$44))+AE121*COS(MIN($C$36,$C$44)),"")</f>
        <v>-6.3660112612525493E-2</v>
      </c>
      <c r="AF122">
        <f t="shared" ref="AF122:AF130" si="207">IF($H122&lt;=$C$12,AF121+AD122,"")</f>
        <v>112.65387939440475</v>
      </c>
      <c r="AG122">
        <f t="shared" ref="AG122:AG130" si="208">IF($H122&lt;=$C$12,AG121+AE122,"")</f>
        <v>-9.7279185908192289E-2</v>
      </c>
      <c r="AH122">
        <f>IF($H122&lt;=$C$12,$H122*MIN($C$36,$C$45)+$I117,"")</f>
        <v>5.2066537177241062E-4</v>
      </c>
      <c r="AI122">
        <f t="shared" ref="AI122:AI130" si="209">IF($H122&lt;=$C$12,$E$4*COS($C$10)*COS(MIN($C$36,$C$45))+AJ121*SIN(MIN($C$36,$C$45)),"")</f>
        <v>56.326952452167269</v>
      </c>
      <c r="AJ122">
        <f t="shared" ref="AJ122:AJ130" si="210">IF($H122&lt;=$C$12,-$E$4*COS($C$10)*SIN(MIN($C$36,$C$45))+AJ121*COS(MIN($C$36,$C$45)),"")</f>
        <v>-2.9327495587603024E-2</v>
      </c>
      <c r="AK122">
        <f t="shared" ref="AK122:AK130" si="211">IF($H122&lt;=$C$12,AK121+AI122,"")</f>
        <v>112.65390773348796</v>
      </c>
      <c r="AL122">
        <f t="shared" ref="AL122:AL130" si="212">IF($H122&lt;=$C$12,AL121+AJ122,"")</f>
        <v>-4.5780258420033221E-2</v>
      </c>
      <c r="AM122">
        <f>IF($H122&lt;=$C$12,$H122*MIN($C$36,$C$46)+$I117,"")</f>
        <v>1.3968559427477748E-3</v>
      </c>
      <c r="AN122">
        <f t="shared" ref="AN122:AN130" si="213">IF($H122&lt;=$C$12,$E$4*COS($C$10)*COS(MIN($C$36,$C$46))+AO121*SIN(MIN($C$36,$C$46)),"")</f>
        <v>56.326917747537763</v>
      </c>
      <c r="AO122">
        <f t="shared" ref="AO122:AO130" si="214">IF($H122&lt;=$C$12,-$E$4*COS($C$10)*SIN(MIN($C$36,$C$46))+AO121*COS(MIN($C$36,$C$46)),"")</f>
        <v>-7.8680630001776497E-2</v>
      </c>
      <c r="AP122">
        <f t="shared" ref="AP122:AP130" si="215">IF($H122&lt;=$C$12,AP121+AN122,"")</f>
        <v>112.65386041563568</v>
      </c>
      <c r="AQ122">
        <f t="shared" ref="AQ122:AQ130" si="216">IF($H122&lt;=$C$12,AQ121+AO122,"")</f>
        <v>-0.11980996402060809</v>
      </c>
      <c r="AR122">
        <f>IF($H122&lt;=$C$12,$H122*MIN($C$36,$C$47)+$I117,"")</f>
        <v>9.7780825677921631E-4</v>
      </c>
      <c r="AS122">
        <f t="shared" ref="AS122:AS130" si="217">IF($H122&lt;=$C$12,$E$4*COS($C$10)*COS(MIN($C$36,$C$47))+AT121*SIN(MIN($C$36,$C$47)),"")</f>
        <v>56.326938391749074</v>
      </c>
      <c r="AT122">
        <f t="shared" ref="AT122:AT130" si="218">IF($H122&lt;=$C$12,-$E$4*COS($C$10)*SIN(MIN($C$36,$C$47))+AT121*COS(MIN($C$36,$C$47)),"")</f>
        <v>-5.5076959016507665E-2</v>
      </c>
      <c r="AU122">
        <f t="shared" ref="AU122:AU130" si="219">IF($H122&lt;=$C$12,AU121+AS122,"")</f>
        <v>112.65388844103987</v>
      </c>
      <c r="AV122">
        <f t="shared" ref="AV122:AV130" si="220">IF($H122&lt;=$C$12,AV121+AT122,"")</f>
        <v>-8.440445472752095E-2</v>
      </c>
    </row>
    <row r="123" spans="1:48" x14ac:dyDescent="0.25">
      <c r="A123" t="s">
        <v>128</v>
      </c>
      <c r="B123"/>
      <c r="C123">
        <v>28.6</v>
      </c>
      <c r="D123" t="s">
        <v>2</v>
      </c>
      <c r="H123">
        <v>3</v>
      </c>
      <c r="I123">
        <f>IF($H123&lt;=$C$12,$H123*MIN($C$36,$C$44)+$I117,"")</f>
        <v>1.6635225865008511E-3</v>
      </c>
      <c r="J123">
        <f t="shared" si="189"/>
        <v>2.2175951071335103</v>
      </c>
      <c r="K123">
        <f t="shared" si="190"/>
        <v>-3.6890215612945081E-3</v>
      </c>
      <c r="L123">
        <f t="shared" si="191"/>
        <v>6.6527872092754308</v>
      </c>
      <c r="M123">
        <f t="shared" si="192"/>
        <v>-7.5189107702784566E-3</v>
      </c>
      <c r="N123">
        <f>IF($H123&lt;=$C$12,$H123*MIN($C$36,$C$45)+$I117,"")</f>
        <v>7.4923680233412093E-4</v>
      </c>
      <c r="O123">
        <f t="shared" si="193"/>
        <v>2.2175962828993394</v>
      </c>
      <c r="P123">
        <f t="shared" si="194"/>
        <v>-2.3373439989307384E-3</v>
      </c>
      <c r="Q123">
        <f t="shared" si="195"/>
        <v>6.6527890458822192</v>
      </c>
      <c r="R123">
        <f t="shared" si="196"/>
        <v>-5.4913943492488626E-3</v>
      </c>
      <c r="S123">
        <f>IF($H123&lt;=$C$12,$H123*MIN($C$36,$C$46)+$I117,"")</f>
        <v>2.0635226587971674E-3</v>
      </c>
      <c r="T123">
        <f t="shared" si="197"/>
        <v>2.217594201312616</v>
      </c>
      <c r="U123">
        <f t="shared" si="198"/>
        <v>-4.5760597496058274E-3</v>
      </c>
      <c r="V123">
        <f t="shared" si="199"/>
        <v>6.6527855562589036</v>
      </c>
      <c r="W123">
        <f t="shared" si="200"/>
        <v>-9.2929874669526024E-3</v>
      </c>
      <c r="X123">
        <f>IF($H123&lt;=$C$12,$H123*MIN($C$36,$C$47)+$I117,"")</f>
        <v>1.4349511298443296E-3</v>
      </c>
      <c r="Y123">
        <f t="shared" si="201"/>
        <v>2.21759553624275</v>
      </c>
      <c r="Z123">
        <f t="shared" si="202"/>
        <v>-3.1821425051750292E-3</v>
      </c>
      <c r="AA123">
        <f t="shared" si="203"/>
        <v>6.6527879945514075</v>
      </c>
      <c r="AB123">
        <f t="shared" si="204"/>
        <v>-6.5051525338175875E-3</v>
      </c>
      <c r="AC123">
        <f>IF($H123&lt;=$C$12,$H123*MIN($C$36,$C$44)+$I117,"")</f>
        <v>1.6635225865008511E-3</v>
      </c>
      <c r="AD123">
        <f t="shared" si="205"/>
        <v>56.326915721191156</v>
      </c>
      <c r="AE123">
        <f t="shared" si="206"/>
        <v>-9.3701147656880507E-2</v>
      </c>
      <c r="AF123">
        <f t="shared" si="207"/>
        <v>168.98079511559592</v>
      </c>
      <c r="AG123">
        <f t="shared" si="208"/>
        <v>-0.1909803335650728</v>
      </c>
      <c r="AH123">
        <f>IF($H123&lt;=$C$12,$H123*MIN($C$36,$C$45)+$I117,"")</f>
        <v>7.4923680233412093E-4</v>
      </c>
      <c r="AI123">
        <f t="shared" si="209"/>
        <v>56.326949509371211</v>
      </c>
      <c r="AJ123">
        <f t="shared" si="210"/>
        <v>-4.2202228006456295E-2</v>
      </c>
      <c r="AK123">
        <f t="shared" si="211"/>
        <v>168.98085724285917</v>
      </c>
      <c r="AL123">
        <f t="shared" si="212"/>
        <v>-8.7982486426489509E-2</v>
      </c>
      <c r="AM123">
        <f>IF($H123&lt;=$C$12,$H123*MIN($C$36,$C$46)+$I117,"")</f>
        <v>2.0635226587971674E-3</v>
      </c>
      <c r="AN123">
        <f t="shared" si="213"/>
        <v>56.326892713340442</v>
      </c>
      <c r="AO123">
        <f t="shared" si="214"/>
        <v>-0.11623191763998802</v>
      </c>
      <c r="AP123">
        <f t="shared" si="215"/>
        <v>168.98075312897612</v>
      </c>
      <c r="AQ123">
        <f t="shared" si="216"/>
        <v>-0.23604188166059611</v>
      </c>
      <c r="AR123">
        <f>IF($H123&lt;=$C$12,$H123*MIN($C$36,$C$47)+$I117,"")</f>
        <v>1.4349511298443296E-3</v>
      </c>
      <c r="AS123">
        <f t="shared" si="217"/>
        <v>56.32692662056585</v>
      </c>
      <c r="AT123">
        <f t="shared" si="218"/>
        <v>-8.0826419631445739E-2</v>
      </c>
      <c r="AU123">
        <f t="shared" si="219"/>
        <v>168.98081506160571</v>
      </c>
      <c r="AV123">
        <f t="shared" si="220"/>
        <v>-0.16523087435896669</v>
      </c>
    </row>
    <row r="124" spans="1:48" x14ac:dyDescent="0.25">
      <c r="A124" s="14" t="s">
        <v>131</v>
      </c>
      <c r="B124" s="14"/>
      <c r="C124" s="6">
        <f>ATAN(C122/C123)</f>
        <v>6.3522510648989612E-5</v>
      </c>
      <c r="D124" s="6" t="s">
        <v>13</v>
      </c>
      <c r="E124" s="6">
        <f>DEGREES(C124)</f>
        <v>3.6395717642619327E-3</v>
      </c>
      <c r="F124" s="6" t="s">
        <v>12</v>
      </c>
      <c r="H124">
        <v>4</v>
      </c>
      <c r="I124">
        <f>IF($H124&lt;=$C$12,$H124*MIN($C$36,$C$44)+$I117,"")</f>
        <v>2.1968559451181384E-3</v>
      </c>
      <c r="J124">
        <f t="shared" si="189"/>
        <v>2.2175944763506221</v>
      </c>
      <c r="K124">
        <f t="shared" si="190"/>
        <v>-4.8717393082178132E-3</v>
      </c>
      <c r="L124">
        <f t="shared" si="191"/>
        <v>8.8703816856260538</v>
      </c>
      <c r="M124">
        <f t="shared" si="192"/>
        <v>-1.239065007849627E-2</v>
      </c>
      <c r="N124">
        <f>IF($H124&lt;=$C$12,$H124*MIN($C$36,$C$45)+$I117,"")</f>
        <v>9.7780823289583146E-4</v>
      </c>
      <c r="O124">
        <f t="shared" si="193"/>
        <v>2.2175961670412336</v>
      </c>
      <c r="P124">
        <f t="shared" si="194"/>
        <v>-2.8442231971239538E-3</v>
      </c>
      <c r="Q124">
        <f t="shared" si="195"/>
        <v>8.8703852129234519</v>
      </c>
      <c r="R124">
        <f t="shared" si="196"/>
        <v>-8.3356175463728168E-3</v>
      </c>
      <c r="S124">
        <f>IF($H124&lt;=$C$12,$H124*MIN($C$36,$C$46)+$I117,"")</f>
        <v>2.7301893748465601E-3</v>
      </c>
      <c r="T124">
        <f t="shared" si="197"/>
        <v>2.2175932157145151</v>
      </c>
      <c r="U124">
        <f t="shared" si="198"/>
        <v>-6.054456572183781E-3</v>
      </c>
      <c r="V124">
        <f t="shared" si="199"/>
        <v>8.8703787719734191</v>
      </c>
      <c r="W124">
        <f t="shared" si="200"/>
        <v>-1.5347444039136383E-2</v>
      </c>
      <c r="X124">
        <f>IF($H124&lt;=$C$12,$H124*MIN($C$36,$C$47)+$I117,"")</f>
        <v>1.8920940029094428E-3</v>
      </c>
      <c r="Y124">
        <f t="shared" si="201"/>
        <v>2.2175950728103881</v>
      </c>
      <c r="Z124">
        <f t="shared" si="202"/>
        <v>-4.1959006911743224E-3</v>
      </c>
      <c r="AA124">
        <f t="shared" si="203"/>
        <v>8.8703830673617965</v>
      </c>
      <c r="AB124">
        <f t="shared" si="204"/>
        <v>-1.0701053224991909E-2</v>
      </c>
      <c r="AC124">
        <f>IF($H124&lt;=$C$12,$H124*MIN($C$36,$C$44)+$I117,"")</f>
        <v>2.1968559451181384E-3</v>
      </c>
      <c r="AD124">
        <f t="shared" si="205"/>
        <v>56.326899699305798</v>
      </c>
      <c r="AE124">
        <f t="shared" si="206"/>
        <v>-0.12374217842873245</v>
      </c>
      <c r="AF124">
        <f t="shared" si="207"/>
        <v>225.30769481490171</v>
      </c>
      <c r="AG124">
        <f t="shared" si="208"/>
        <v>-0.31472251199380524</v>
      </c>
      <c r="AH124">
        <f>IF($H124&lt;=$C$12,$H124*MIN($C$36,$C$45)+$I117,"")</f>
        <v>9.7780823289583146E-4</v>
      </c>
      <c r="AI124">
        <f t="shared" si="209"/>
        <v>56.326946566575231</v>
      </c>
      <c r="AJ124">
        <f t="shared" si="210"/>
        <v>-5.5076960088990018E-2</v>
      </c>
      <c r="AK124">
        <f t="shared" si="211"/>
        <v>225.3078038094344</v>
      </c>
      <c r="AL124">
        <f t="shared" si="212"/>
        <v>-0.14305944651547953</v>
      </c>
      <c r="AM124">
        <f>IF($H124&lt;=$C$12,$H124*MIN($C$36,$C$46)+$I117,"")</f>
        <v>2.7301893748465601E-3</v>
      </c>
      <c r="AN124">
        <f t="shared" si="213"/>
        <v>56.326867679148684</v>
      </c>
      <c r="AO124">
        <f t="shared" si="214"/>
        <v>-0.15378319693346804</v>
      </c>
      <c r="AP124">
        <f t="shared" si="215"/>
        <v>225.3076208081248</v>
      </c>
      <c r="AQ124">
        <f t="shared" si="216"/>
        <v>-0.38982507859406412</v>
      </c>
      <c r="AR124">
        <f>IF($H124&lt;=$C$12,$H124*MIN($C$36,$C$47)+$I117,"")</f>
        <v>1.8920940029094428E-3</v>
      </c>
      <c r="AS124">
        <f t="shared" si="217"/>
        <v>56.326914849383854</v>
      </c>
      <c r="AT124">
        <f t="shared" si="218"/>
        <v>-0.10657587755582779</v>
      </c>
      <c r="AU124">
        <f t="shared" si="219"/>
        <v>225.30772991098956</v>
      </c>
      <c r="AV124">
        <f t="shared" si="220"/>
        <v>-0.27180675191479448</v>
      </c>
    </row>
    <row r="125" spans="1:48" x14ac:dyDescent="0.25">
      <c r="B125"/>
      <c r="H125">
        <v>5</v>
      </c>
      <c r="I125">
        <f>IF($H125&lt;=$C$12,$H125*MIN($C$36,$C$44)+$I117,"")</f>
        <v>2.7301893037354258E-3</v>
      </c>
      <c r="J125">
        <f t="shared" si="189"/>
        <v>2.2175938455678237</v>
      </c>
      <c r="K125">
        <f t="shared" si="190"/>
        <v>-6.0544568869323597E-3</v>
      </c>
      <c r="L125">
        <f t="shared" si="191"/>
        <v>11.087975531193877</v>
      </c>
      <c r="M125">
        <f t="shared" si="192"/>
        <v>-1.8445106965428629E-2</v>
      </c>
      <c r="N125">
        <f>IF($H125&lt;=$C$12,$H125*MIN($C$36,$C$45)+$I117,"")</f>
        <v>1.206379663457542E-3</v>
      </c>
      <c r="O125">
        <f t="shared" si="193"/>
        <v>2.2175960511831314</v>
      </c>
      <c r="P125">
        <f t="shared" si="194"/>
        <v>-3.3511023820762429E-3</v>
      </c>
      <c r="Q125">
        <f t="shared" si="195"/>
        <v>11.087981264106583</v>
      </c>
      <c r="R125">
        <f t="shared" si="196"/>
        <v>-1.1686719928449059E-2</v>
      </c>
      <c r="S125">
        <f>IF($H125&lt;=$C$12,$H125*MIN($C$36,$C$46)+$I117,"")</f>
        <v>3.3968560908959528E-3</v>
      </c>
      <c r="T125">
        <f t="shared" si="197"/>
        <v>2.2175922301166335</v>
      </c>
      <c r="U125">
        <f t="shared" si="198"/>
        <v>-7.5328530662290708E-3</v>
      </c>
      <c r="V125">
        <f t="shared" si="199"/>
        <v>11.087971002090052</v>
      </c>
      <c r="W125">
        <f t="shared" si="200"/>
        <v>-2.2880297105365453E-2</v>
      </c>
      <c r="X125">
        <f>IF($H125&lt;=$C$12,$H125*MIN($C$36,$C$47)+$I117,"")</f>
        <v>2.3492368759745561E-3</v>
      </c>
      <c r="Y125">
        <f t="shared" si="201"/>
        <v>2.2175946093780743</v>
      </c>
      <c r="Z125">
        <f t="shared" si="202"/>
        <v>-5.2096587712462238E-3</v>
      </c>
      <c r="AA125">
        <f t="shared" si="203"/>
        <v>11.087977676739872</v>
      </c>
      <c r="AB125">
        <f t="shared" si="204"/>
        <v>-1.5910711996238135E-2</v>
      </c>
      <c r="AC125">
        <f>IF($H125&lt;=$C$12,$H125*MIN($C$36,$C$44)+$I117,"")</f>
        <v>2.7301893037354258E-3</v>
      </c>
      <c r="AD125">
        <f t="shared" si="205"/>
        <v>56.326883677422721</v>
      </c>
      <c r="AE125">
        <f t="shared" si="206"/>
        <v>-0.15378320492808195</v>
      </c>
      <c r="AF125">
        <f t="shared" si="207"/>
        <v>281.63457849232441</v>
      </c>
      <c r="AG125">
        <f t="shared" si="208"/>
        <v>-0.46850571692188719</v>
      </c>
      <c r="AH125">
        <f>IF($H125&lt;=$C$12,$H125*MIN($C$36,$C$45)+$I117,"")</f>
        <v>1.206379663457542E-3</v>
      </c>
      <c r="AI125">
        <f t="shared" si="209"/>
        <v>56.326943623779329</v>
      </c>
      <c r="AJ125">
        <f t="shared" si="210"/>
        <v>-6.7951691835204206E-2</v>
      </c>
      <c r="AK125">
        <f t="shared" si="211"/>
        <v>281.63474743321376</v>
      </c>
      <c r="AL125">
        <f t="shared" si="212"/>
        <v>-0.21101113835068375</v>
      </c>
      <c r="AM125">
        <f>IF($H125&lt;=$C$12,$H125*MIN($C$36,$C$46)+$I117,"")</f>
        <v>3.3968560908959528E-3</v>
      </c>
      <c r="AN125">
        <f t="shared" si="213"/>
        <v>56.32684264496249</v>
      </c>
      <c r="AO125">
        <f t="shared" si="214"/>
        <v>-0.19133446788221839</v>
      </c>
      <c r="AP125">
        <f t="shared" si="215"/>
        <v>281.63446345308728</v>
      </c>
      <c r="AQ125">
        <f t="shared" si="216"/>
        <v>-0.58115954647628254</v>
      </c>
      <c r="AR125">
        <f>IF($H125&lt;=$C$12,$H125*MIN($C$36,$C$47)+$I117,"")</f>
        <v>2.3492368759745561E-3</v>
      </c>
      <c r="AS125">
        <f t="shared" si="217"/>
        <v>56.326903078203088</v>
      </c>
      <c r="AT125">
        <f t="shared" si="218"/>
        <v>-0.13232533278965408</v>
      </c>
      <c r="AU125">
        <f t="shared" si="219"/>
        <v>281.63463298919265</v>
      </c>
      <c r="AV125">
        <f t="shared" si="220"/>
        <v>-0.40413208470444856</v>
      </c>
    </row>
    <row r="126" spans="1:48" x14ac:dyDescent="0.25">
      <c r="B126"/>
      <c r="H126">
        <v>6</v>
      </c>
      <c r="I126">
        <f>IF($H126&lt;=$C$12,$H126*MIN($C$36,$C$44)+$I117,"")</f>
        <v>3.2635226623527126E-3</v>
      </c>
      <c r="J126">
        <f t="shared" si="189"/>
        <v>2.2175932147851154</v>
      </c>
      <c r="K126">
        <f t="shared" si="190"/>
        <v>-7.237174297438172E-3</v>
      </c>
      <c r="L126">
        <f t="shared" si="191"/>
        <v>13.305568745978992</v>
      </c>
      <c r="M126">
        <f t="shared" si="192"/>
        <v>-2.5682281262866799E-2</v>
      </c>
      <c r="N126">
        <f>IF($H126&lt;=$C$12,$H126*MIN($C$36,$C$45)+$I117,"")</f>
        <v>1.4349510940192523E-3</v>
      </c>
      <c r="O126">
        <f t="shared" si="193"/>
        <v>2.2175959353250319</v>
      </c>
      <c r="P126">
        <f t="shared" si="194"/>
        <v>-3.8579815537876064E-3</v>
      </c>
      <c r="Q126">
        <f t="shared" si="195"/>
        <v>13.305577199431614</v>
      </c>
      <c r="R126">
        <f t="shared" si="196"/>
        <v>-1.5544701482236665E-2</v>
      </c>
      <c r="S126">
        <f>IF($H126&lt;=$C$12,$H126*MIN($C$36,$C$46)+$I117,"")</f>
        <v>4.0635228069453456E-3</v>
      </c>
      <c r="T126">
        <f t="shared" si="197"/>
        <v>2.2175912445189709</v>
      </c>
      <c r="U126">
        <f t="shared" si="198"/>
        <v>-9.0112492317417706E-3</v>
      </c>
      <c r="V126">
        <f t="shared" si="199"/>
        <v>13.305562246609023</v>
      </c>
      <c r="W126">
        <f t="shared" si="200"/>
        <v>-3.1891546337107224E-2</v>
      </c>
      <c r="X126">
        <f>IF($H126&lt;=$C$12,$H126*MIN($C$36,$C$47)+$I117,"")</f>
        <v>2.8063797490396696E-3</v>
      </c>
      <c r="Y126">
        <f t="shared" si="201"/>
        <v>2.2175941459458093</v>
      </c>
      <c r="Z126">
        <f t="shared" si="202"/>
        <v>-6.2234167453907446E-3</v>
      </c>
      <c r="AA126">
        <f t="shared" si="203"/>
        <v>13.305571822685682</v>
      </c>
      <c r="AB126">
        <f t="shared" si="204"/>
        <v>-2.2134128741628879E-2</v>
      </c>
      <c r="AC126">
        <f>IF($H126&lt;=$C$12,$H126*MIN($C$36,$C$44)+$I117,"")</f>
        <v>3.2635226623527126E-3</v>
      </c>
      <c r="AD126">
        <f t="shared" si="205"/>
        <v>56.326867655541918</v>
      </c>
      <c r="AE126">
        <f t="shared" si="206"/>
        <v>-0.18382422715492958</v>
      </c>
      <c r="AF126">
        <f t="shared" si="207"/>
        <v>337.96144614786635</v>
      </c>
      <c r="AG126">
        <f t="shared" si="208"/>
        <v>-0.65232994407681677</v>
      </c>
      <c r="AH126">
        <f>IF($H126&lt;=$C$12,$H126*MIN($C$36,$C$45)+$I117,"")</f>
        <v>1.4349510940192523E-3</v>
      </c>
      <c r="AI126">
        <f t="shared" si="209"/>
        <v>56.326940680983498</v>
      </c>
      <c r="AJ126">
        <f t="shared" si="210"/>
        <v>-8.0826423245098866E-2</v>
      </c>
      <c r="AK126">
        <f t="shared" si="211"/>
        <v>337.96168811419727</v>
      </c>
      <c r="AL126">
        <f t="shared" si="212"/>
        <v>-0.29183756159578261</v>
      </c>
      <c r="AM126">
        <f>IF($H126&lt;=$C$12,$H126*MIN($C$36,$C$46)+$I117,"")</f>
        <v>4.0635228069453456E-3</v>
      </c>
      <c r="AN126">
        <f t="shared" si="213"/>
        <v>56.326817610781852</v>
      </c>
      <c r="AO126">
        <f t="shared" si="214"/>
        <v>-0.22888573048624095</v>
      </c>
      <c r="AP126">
        <f t="shared" si="215"/>
        <v>337.96128106386914</v>
      </c>
      <c r="AQ126">
        <f t="shared" si="216"/>
        <v>-0.81004527696252349</v>
      </c>
      <c r="AR126">
        <f>IF($H126&lt;=$C$12,$H126*MIN($C$36,$C$47)+$I117,"")</f>
        <v>2.8063797490396696E-3</v>
      </c>
      <c r="AS126">
        <f t="shared" si="217"/>
        <v>56.326891307023551</v>
      </c>
      <c r="AT126">
        <f t="shared" si="218"/>
        <v>-0.15807478533292491</v>
      </c>
      <c r="AU126">
        <f t="shared" si="219"/>
        <v>337.96152429621623</v>
      </c>
      <c r="AV126">
        <f t="shared" si="220"/>
        <v>-0.56220687003737346</v>
      </c>
    </row>
    <row r="127" spans="1:48" x14ac:dyDescent="0.25">
      <c r="H127">
        <v>7</v>
      </c>
      <c r="I127" t="str">
        <f>IF($H127&lt;=$C$12,$H127*MIN($C$36,$C$44)+$I117,"")</f>
        <v/>
      </c>
      <c r="J127" t="str">
        <f t="shared" si="189"/>
        <v/>
      </c>
      <c r="K127" t="str">
        <f t="shared" si="190"/>
        <v/>
      </c>
      <c r="L127" t="str">
        <f t="shared" si="191"/>
        <v/>
      </c>
      <c r="M127" t="str">
        <f t="shared" si="192"/>
        <v/>
      </c>
      <c r="N127" t="str">
        <f>IF($H127&lt;=$C$12,$H127*MIN($C$36,$C$45)+$I117,"")</f>
        <v/>
      </c>
      <c r="O127" t="str">
        <f t="shared" si="193"/>
        <v/>
      </c>
      <c r="P127" t="str">
        <f t="shared" si="194"/>
        <v/>
      </c>
      <c r="Q127" t="str">
        <f t="shared" si="195"/>
        <v/>
      </c>
      <c r="R127" t="str">
        <f t="shared" si="196"/>
        <v/>
      </c>
      <c r="S127" t="str">
        <f>IF($H127&lt;=$C$12,$H127*MIN($C$36,$C$46)+$I117,"")</f>
        <v/>
      </c>
      <c r="T127" t="str">
        <f t="shared" si="197"/>
        <v/>
      </c>
      <c r="U127" t="str">
        <f t="shared" si="198"/>
        <v/>
      </c>
      <c r="V127" t="str">
        <f t="shared" si="199"/>
        <v/>
      </c>
      <c r="W127" t="str">
        <f t="shared" si="200"/>
        <v/>
      </c>
      <c r="X127" t="str">
        <f>IF($H127&lt;=$C$12,$H127*MIN($C$36,$C$47)+$I117,"")</f>
        <v/>
      </c>
      <c r="Y127" t="str">
        <f t="shared" si="201"/>
        <v/>
      </c>
      <c r="Z127" t="str">
        <f t="shared" si="202"/>
        <v/>
      </c>
      <c r="AA127" t="str">
        <f t="shared" si="203"/>
        <v/>
      </c>
      <c r="AB127" t="str">
        <f t="shared" si="204"/>
        <v/>
      </c>
      <c r="AC127" t="str">
        <f>IF($H127&lt;=$C$12,$H127*MIN($C$36,$C$44)+$I117,"")</f>
        <v/>
      </c>
      <c r="AD127" t="str">
        <f t="shared" si="205"/>
        <v/>
      </c>
      <c r="AE127" t="str">
        <f t="shared" si="206"/>
        <v/>
      </c>
      <c r="AF127" t="str">
        <f t="shared" si="207"/>
        <v/>
      </c>
      <c r="AG127" t="str">
        <f t="shared" si="208"/>
        <v/>
      </c>
      <c r="AH127" t="str">
        <f>IF($H127&lt;=$C$12,$H127*MIN($C$36,$C$45)+$I117,"")</f>
        <v/>
      </c>
      <c r="AI127" t="str">
        <f t="shared" si="209"/>
        <v/>
      </c>
      <c r="AJ127" t="str">
        <f t="shared" si="210"/>
        <v/>
      </c>
      <c r="AK127" t="str">
        <f t="shared" si="211"/>
        <v/>
      </c>
      <c r="AL127" t="str">
        <f t="shared" si="212"/>
        <v/>
      </c>
      <c r="AM127" t="str">
        <f>IF($H127&lt;=$C$12,$H127*MIN($C$36,$C$46)+$I117,"")</f>
        <v/>
      </c>
      <c r="AN127" t="str">
        <f t="shared" si="213"/>
        <v/>
      </c>
      <c r="AO127" t="str">
        <f t="shared" si="214"/>
        <v/>
      </c>
      <c r="AP127" t="str">
        <f t="shared" si="215"/>
        <v/>
      </c>
      <c r="AQ127" t="str">
        <f t="shared" si="216"/>
        <v/>
      </c>
      <c r="AR127" t="str">
        <f>IF($H127&lt;=$C$12,$H127*MIN($C$36,$C$47)+$I117,"")</f>
        <v/>
      </c>
      <c r="AS127" t="str">
        <f t="shared" si="217"/>
        <v/>
      </c>
      <c r="AT127" t="str">
        <f t="shared" si="218"/>
        <v/>
      </c>
      <c r="AU127" t="str">
        <f t="shared" si="219"/>
        <v/>
      </c>
      <c r="AV127" t="str">
        <f t="shared" si="220"/>
        <v/>
      </c>
    </row>
    <row r="128" spans="1:48" x14ac:dyDescent="0.25">
      <c r="H128">
        <v>8</v>
      </c>
      <c r="I128" t="str">
        <f>IF($H128&lt;=$C$12,$H128*MIN($C$36,$C$44)+$I117,"")</f>
        <v/>
      </c>
      <c r="J128" t="str">
        <f t="shared" si="189"/>
        <v/>
      </c>
      <c r="K128" t="str">
        <f t="shared" si="190"/>
        <v/>
      </c>
      <c r="L128" t="str">
        <f t="shared" si="191"/>
        <v/>
      </c>
      <c r="M128" t="str">
        <f t="shared" si="192"/>
        <v/>
      </c>
      <c r="N128" t="str">
        <f>IF($H128&lt;=$C$12,$H128*MIN($C$36,$C$45)+$I117,"")</f>
        <v/>
      </c>
      <c r="O128" t="str">
        <f t="shared" si="193"/>
        <v/>
      </c>
      <c r="P128" t="str">
        <f t="shared" si="194"/>
        <v/>
      </c>
      <c r="Q128" t="str">
        <f t="shared" si="195"/>
        <v/>
      </c>
      <c r="R128" t="str">
        <f t="shared" si="196"/>
        <v/>
      </c>
      <c r="S128" t="str">
        <f>IF($H128&lt;=$C$12,$H128*MIN($C$36,$C$46)+$I117,"")</f>
        <v/>
      </c>
      <c r="T128" t="str">
        <f t="shared" si="197"/>
        <v/>
      </c>
      <c r="U128" t="str">
        <f t="shared" si="198"/>
        <v/>
      </c>
      <c r="V128" t="str">
        <f t="shared" si="199"/>
        <v/>
      </c>
      <c r="W128" t="str">
        <f t="shared" si="200"/>
        <v/>
      </c>
      <c r="X128" t="str">
        <f>IF($H128&lt;=$C$12,$H128*MIN($C$36,$C$47)+$I117,"")</f>
        <v/>
      </c>
      <c r="Y128" t="str">
        <f t="shared" si="201"/>
        <v/>
      </c>
      <c r="Z128" t="str">
        <f t="shared" si="202"/>
        <v/>
      </c>
      <c r="AA128" t="str">
        <f t="shared" si="203"/>
        <v/>
      </c>
      <c r="AB128" t="str">
        <f t="shared" si="204"/>
        <v/>
      </c>
      <c r="AC128" t="str">
        <f>IF($H128&lt;=$C$12,$H128*MIN($C$36,$C$44)+$I117,"")</f>
        <v/>
      </c>
      <c r="AD128" t="str">
        <f t="shared" si="205"/>
        <v/>
      </c>
      <c r="AE128" t="str">
        <f t="shared" si="206"/>
        <v/>
      </c>
      <c r="AF128" t="str">
        <f t="shared" si="207"/>
        <v/>
      </c>
      <c r="AG128" t="str">
        <f t="shared" si="208"/>
        <v/>
      </c>
      <c r="AH128" t="str">
        <f>IF($H128&lt;=$C$12,$H128*MIN($C$36,$C$45)+$I117,"")</f>
        <v/>
      </c>
      <c r="AI128" t="str">
        <f t="shared" si="209"/>
        <v/>
      </c>
      <c r="AJ128" t="str">
        <f t="shared" si="210"/>
        <v/>
      </c>
      <c r="AK128" t="str">
        <f t="shared" si="211"/>
        <v/>
      </c>
      <c r="AL128" t="str">
        <f t="shared" si="212"/>
        <v/>
      </c>
      <c r="AM128" t="str">
        <f>IF($H128&lt;=$C$12,$H128*MIN($C$36,$C$46)+$I117,"")</f>
        <v/>
      </c>
      <c r="AN128" t="str">
        <f t="shared" si="213"/>
        <v/>
      </c>
      <c r="AO128" t="str">
        <f t="shared" si="214"/>
        <v/>
      </c>
      <c r="AP128" t="str">
        <f t="shared" si="215"/>
        <v/>
      </c>
      <c r="AQ128" t="str">
        <f t="shared" si="216"/>
        <v/>
      </c>
      <c r="AR128" t="str">
        <f>IF($H128&lt;=$C$12,$H128*MIN($C$36,$C$47)+$I117,"")</f>
        <v/>
      </c>
      <c r="AS128" t="str">
        <f t="shared" si="217"/>
        <v/>
      </c>
      <c r="AT128" t="str">
        <f t="shared" si="218"/>
        <v/>
      </c>
      <c r="AU128" t="str">
        <f t="shared" si="219"/>
        <v/>
      </c>
      <c r="AV128" t="str">
        <f t="shared" si="220"/>
        <v/>
      </c>
    </row>
    <row r="129" spans="1:48" x14ac:dyDescent="0.25">
      <c r="H129">
        <v>9</v>
      </c>
      <c r="I129" t="str">
        <f>IF($H129&lt;=$C$12,$H129*MIN($C$36,$C$44)+$I117,"")</f>
        <v/>
      </c>
      <c r="J129" t="str">
        <f t="shared" si="189"/>
        <v/>
      </c>
      <c r="K129" t="str">
        <f t="shared" si="190"/>
        <v/>
      </c>
      <c r="L129" t="str">
        <f t="shared" si="191"/>
        <v/>
      </c>
      <c r="M129" t="str">
        <f t="shared" si="192"/>
        <v/>
      </c>
      <c r="N129" t="str">
        <f>IF($H129&lt;=$C$12,$H129*MIN($C$36,$C$45)+$I117,"")</f>
        <v/>
      </c>
      <c r="O129" t="str">
        <f t="shared" si="193"/>
        <v/>
      </c>
      <c r="P129" t="str">
        <f t="shared" si="194"/>
        <v/>
      </c>
      <c r="Q129" t="str">
        <f t="shared" si="195"/>
        <v/>
      </c>
      <c r="R129" t="str">
        <f t="shared" si="196"/>
        <v/>
      </c>
      <c r="S129" t="str">
        <f>IF($H129&lt;=$C$12,$H129*MIN($C$36,$C$46)+$I117,"")</f>
        <v/>
      </c>
      <c r="T129" t="str">
        <f t="shared" si="197"/>
        <v/>
      </c>
      <c r="U129" t="str">
        <f t="shared" si="198"/>
        <v/>
      </c>
      <c r="V129" t="str">
        <f t="shared" si="199"/>
        <v/>
      </c>
      <c r="W129" t="str">
        <f t="shared" si="200"/>
        <v/>
      </c>
      <c r="X129" t="str">
        <f>IF($H129&lt;=$C$12,$H129*MIN($C$36,$C$47)+$I117,"")</f>
        <v/>
      </c>
      <c r="Y129" t="str">
        <f t="shared" si="201"/>
        <v/>
      </c>
      <c r="Z129" t="str">
        <f t="shared" si="202"/>
        <v/>
      </c>
      <c r="AA129" t="str">
        <f t="shared" si="203"/>
        <v/>
      </c>
      <c r="AB129" t="str">
        <f t="shared" si="204"/>
        <v/>
      </c>
      <c r="AC129" t="str">
        <f>IF($H129&lt;=$C$12,$H129*MIN($C$36,$C$44)+$I117,"")</f>
        <v/>
      </c>
      <c r="AD129" t="str">
        <f t="shared" si="205"/>
        <v/>
      </c>
      <c r="AE129" t="str">
        <f t="shared" si="206"/>
        <v/>
      </c>
      <c r="AF129" t="str">
        <f t="shared" si="207"/>
        <v/>
      </c>
      <c r="AG129" t="str">
        <f t="shared" si="208"/>
        <v/>
      </c>
      <c r="AH129" t="str">
        <f>IF($H129&lt;=$C$12,$H129*MIN($C$36,$C$45)+$I117,"")</f>
        <v/>
      </c>
      <c r="AI129" t="str">
        <f t="shared" si="209"/>
        <v/>
      </c>
      <c r="AJ129" t="str">
        <f t="shared" si="210"/>
        <v/>
      </c>
      <c r="AK129" t="str">
        <f t="shared" si="211"/>
        <v/>
      </c>
      <c r="AL129" t="str">
        <f t="shared" si="212"/>
        <v/>
      </c>
      <c r="AM129" t="str">
        <f>IF($H129&lt;=$C$12,$H129*MIN($C$36,$C$46)+$I117,"")</f>
        <v/>
      </c>
      <c r="AN129" t="str">
        <f t="shared" si="213"/>
        <v/>
      </c>
      <c r="AO129" t="str">
        <f t="shared" si="214"/>
        <v/>
      </c>
      <c r="AP129" t="str">
        <f t="shared" si="215"/>
        <v/>
      </c>
      <c r="AQ129" t="str">
        <f t="shared" si="216"/>
        <v/>
      </c>
      <c r="AR129" t="str">
        <f>IF($H129&lt;=$C$12,$H129*MIN($C$36,$C$47)+$I117,"")</f>
        <v/>
      </c>
      <c r="AS129" t="str">
        <f t="shared" si="217"/>
        <v/>
      </c>
      <c r="AT129" t="str">
        <f t="shared" si="218"/>
        <v/>
      </c>
      <c r="AU129" t="str">
        <f t="shared" si="219"/>
        <v/>
      </c>
      <c r="AV129" t="str">
        <f t="shared" si="220"/>
        <v/>
      </c>
    </row>
    <row r="130" spans="1:48" x14ac:dyDescent="0.25">
      <c r="H130">
        <v>10</v>
      </c>
      <c r="I130" t="str">
        <f>IF($H130&lt;=$C$12,$H130*MIN($C$36,$C$44)+$I117,"")</f>
        <v/>
      </c>
      <c r="J130" t="str">
        <f t="shared" si="189"/>
        <v/>
      </c>
      <c r="K130" t="str">
        <f t="shared" si="190"/>
        <v/>
      </c>
      <c r="L130" t="str">
        <f t="shared" si="191"/>
        <v/>
      </c>
      <c r="M130" t="str">
        <f t="shared" si="192"/>
        <v/>
      </c>
      <c r="N130" t="str">
        <f>IF($H130&lt;=$C$12,$H130*MIN($C$36,$C$45)+$I117,"")</f>
        <v/>
      </c>
      <c r="O130" t="str">
        <f t="shared" si="193"/>
        <v/>
      </c>
      <c r="P130" t="str">
        <f t="shared" si="194"/>
        <v/>
      </c>
      <c r="Q130" t="str">
        <f t="shared" si="195"/>
        <v/>
      </c>
      <c r="R130" t="str">
        <f t="shared" si="196"/>
        <v/>
      </c>
      <c r="S130" t="str">
        <f>IF($H130&lt;=$C$12,$H130*MIN($C$36,$C$46)+$I117,"")</f>
        <v/>
      </c>
      <c r="T130" t="str">
        <f t="shared" si="197"/>
        <v/>
      </c>
      <c r="U130" t="str">
        <f t="shared" si="198"/>
        <v/>
      </c>
      <c r="V130" t="str">
        <f t="shared" si="199"/>
        <v/>
      </c>
      <c r="W130" t="str">
        <f t="shared" si="200"/>
        <v/>
      </c>
      <c r="X130" t="str">
        <f>IF($H130&lt;=$C$12,$H130*MIN($C$36,$C$47)+$I117,"")</f>
        <v/>
      </c>
      <c r="Y130" t="str">
        <f t="shared" si="201"/>
        <v/>
      </c>
      <c r="Z130" t="str">
        <f t="shared" si="202"/>
        <v/>
      </c>
      <c r="AA130" t="str">
        <f t="shared" si="203"/>
        <v/>
      </c>
      <c r="AB130" t="str">
        <f t="shared" si="204"/>
        <v/>
      </c>
      <c r="AC130" t="str">
        <f>IF($H130&lt;=$C$12,$H130*MIN($C$36,$C$44)+$I117,"")</f>
        <v/>
      </c>
      <c r="AD130" t="str">
        <f t="shared" si="205"/>
        <v/>
      </c>
      <c r="AE130" t="str">
        <f t="shared" si="206"/>
        <v/>
      </c>
      <c r="AF130" t="str">
        <f t="shared" si="207"/>
        <v/>
      </c>
      <c r="AG130" t="str">
        <f t="shared" si="208"/>
        <v/>
      </c>
      <c r="AH130" t="str">
        <f>IF($H130&lt;=$C$12,$H130*MIN($C$36,$C$45)+$I117,"")</f>
        <v/>
      </c>
      <c r="AI130" t="str">
        <f t="shared" si="209"/>
        <v/>
      </c>
      <c r="AJ130" t="str">
        <f t="shared" si="210"/>
        <v/>
      </c>
      <c r="AK130" t="str">
        <f t="shared" si="211"/>
        <v/>
      </c>
      <c r="AL130" t="str">
        <f t="shared" si="212"/>
        <v/>
      </c>
      <c r="AM130" t="str">
        <f>IF($H130&lt;=$C$12,$H130*MIN($C$36,$C$46)+$I117,"")</f>
        <v/>
      </c>
      <c r="AN130" t="str">
        <f t="shared" si="213"/>
        <v/>
      </c>
      <c r="AO130" t="str">
        <f t="shared" si="214"/>
        <v/>
      </c>
      <c r="AP130" t="str">
        <f t="shared" si="215"/>
        <v/>
      </c>
      <c r="AQ130" t="str">
        <f t="shared" si="216"/>
        <v/>
      </c>
      <c r="AR130" t="str">
        <f>IF($H130&lt;=$C$12,$H130*MIN($C$36,$C$47)+$I117,"")</f>
        <v/>
      </c>
      <c r="AS130" t="str">
        <f t="shared" si="217"/>
        <v/>
      </c>
      <c r="AT130" t="str">
        <f t="shared" si="218"/>
        <v/>
      </c>
      <c r="AU130" t="str">
        <f t="shared" si="219"/>
        <v/>
      </c>
      <c r="AV130" t="str">
        <f t="shared" si="220"/>
        <v/>
      </c>
    </row>
    <row r="132" spans="1:48" x14ac:dyDescent="0.25">
      <c r="A132" s="14" t="s">
        <v>122</v>
      </c>
      <c r="B132" s="14"/>
      <c r="C132">
        <v>20</v>
      </c>
      <c r="D132" t="s">
        <v>9</v>
      </c>
      <c r="I132" s="15" t="s">
        <v>118</v>
      </c>
    </row>
    <row r="133" spans="1:48" x14ac:dyDescent="0.25">
      <c r="A133" t="s">
        <v>124</v>
      </c>
      <c r="B133"/>
      <c r="C133">
        <v>5</v>
      </c>
      <c r="D133" t="s">
        <v>2</v>
      </c>
      <c r="I133" s="41">
        <f>C140</f>
        <v>1.2704502078533867E-4</v>
      </c>
      <c r="U133" s="9" t="s">
        <v>109</v>
      </c>
      <c r="AB133" s="11" t="s">
        <v>119</v>
      </c>
      <c r="AC133" t="s">
        <v>120</v>
      </c>
      <c r="AO133" s="9" t="s">
        <v>109</v>
      </c>
    </row>
    <row r="134" spans="1:48" x14ac:dyDescent="0.25">
      <c r="A134" t="s">
        <v>125</v>
      </c>
      <c r="B134"/>
      <c r="C134">
        <v>30</v>
      </c>
      <c r="D134" t="s">
        <v>2</v>
      </c>
      <c r="H134" s="11"/>
      <c r="I134" s="44" t="str">
        <f>CONCATENATE("2 Segment (",$C132,"N Load)")</f>
        <v>2 Segment (20N Load)</v>
      </c>
      <c r="J134" s="45"/>
      <c r="K134" s="45"/>
      <c r="L134" s="45"/>
      <c r="M134" s="46"/>
      <c r="N134" s="44" t="s">
        <v>73</v>
      </c>
      <c r="O134" s="45"/>
      <c r="P134" s="45"/>
      <c r="Q134" s="45"/>
      <c r="R134" s="46"/>
      <c r="S134" s="44" t="str">
        <f>CONCATENATE("3 Segment (",$C132,"N Load)")</f>
        <v>3 Segment (20N Load)</v>
      </c>
      <c r="T134" s="45"/>
      <c r="U134" s="45"/>
      <c r="V134" s="45"/>
      <c r="W134" s="46"/>
      <c r="X134" s="44" t="s">
        <v>75</v>
      </c>
      <c r="Y134" s="45"/>
      <c r="Z134" s="45"/>
      <c r="AA134" s="45"/>
      <c r="AB134" s="46"/>
      <c r="AC134" s="44" t="str">
        <f>CONCATENATE("2 Segment (",$C132,"N Load)")</f>
        <v>2 Segment (20N Load)</v>
      </c>
      <c r="AD134" s="45"/>
      <c r="AE134" s="45"/>
      <c r="AF134" s="45"/>
      <c r="AG134" s="46"/>
      <c r="AH134" s="44" t="s">
        <v>73</v>
      </c>
      <c r="AI134" s="45"/>
      <c r="AJ134" s="45"/>
      <c r="AK134" s="45"/>
      <c r="AL134" s="46"/>
      <c r="AM134" s="44" t="str">
        <f>CONCATENATE("3 Segment (",$C132,"N Load)")</f>
        <v>3 Segment (20N Load)</v>
      </c>
      <c r="AN134" s="45"/>
      <c r="AO134" s="45"/>
      <c r="AP134" s="45"/>
      <c r="AQ134" s="46"/>
      <c r="AR134" s="44" t="s">
        <v>75</v>
      </c>
      <c r="AS134" s="45"/>
      <c r="AT134" s="45"/>
      <c r="AU134" s="45"/>
      <c r="AV134" s="46"/>
    </row>
    <row r="135" spans="1:48" x14ac:dyDescent="0.25">
      <c r="A135" t="s">
        <v>126</v>
      </c>
      <c r="B135"/>
      <c r="C135">
        <v>4.76</v>
      </c>
      <c r="D135" t="s">
        <v>2</v>
      </c>
      <c r="H135" s="13" t="s">
        <v>40</v>
      </c>
      <c r="I135" s="22" t="s">
        <v>68</v>
      </c>
      <c r="J135" s="23" t="s">
        <v>69</v>
      </c>
      <c r="K135" s="23" t="s">
        <v>70</v>
      </c>
      <c r="L135" s="24" t="s">
        <v>71</v>
      </c>
      <c r="M135" s="24" t="s">
        <v>72</v>
      </c>
      <c r="N135" s="22" t="s">
        <v>68</v>
      </c>
      <c r="O135" s="23" t="s">
        <v>69</v>
      </c>
      <c r="P135" s="23" t="s">
        <v>70</v>
      </c>
      <c r="Q135" s="24" t="s">
        <v>71</v>
      </c>
      <c r="R135" s="24" t="s">
        <v>72</v>
      </c>
      <c r="S135" s="22" t="s">
        <v>68</v>
      </c>
      <c r="T135" s="23" t="s">
        <v>69</v>
      </c>
      <c r="U135" s="23" t="s">
        <v>70</v>
      </c>
      <c r="V135" s="24" t="s">
        <v>71</v>
      </c>
      <c r="W135" s="24" t="s">
        <v>72</v>
      </c>
      <c r="X135" s="22" t="s">
        <v>68</v>
      </c>
      <c r="Y135" s="23" t="s">
        <v>69</v>
      </c>
      <c r="Z135" s="23" t="s">
        <v>70</v>
      </c>
      <c r="AA135" s="24" t="s">
        <v>71</v>
      </c>
      <c r="AB135" s="24" t="s">
        <v>72</v>
      </c>
      <c r="AC135" s="22" t="s">
        <v>68</v>
      </c>
      <c r="AD135" s="23" t="s">
        <v>69</v>
      </c>
      <c r="AE135" s="23" t="s">
        <v>70</v>
      </c>
      <c r="AF135" s="24" t="s">
        <v>71</v>
      </c>
      <c r="AG135" s="24" t="s">
        <v>72</v>
      </c>
      <c r="AH135" s="22" t="s">
        <v>68</v>
      </c>
      <c r="AI135" s="23" t="s">
        <v>69</v>
      </c>
      <c r="AJ135" s="23" t="s">
        <v>70</v>
      </c>
      <c r="AK135" s="24" t="s">
        <v>71</v>
      </c>
      <c r="AL135" s="24" t="s">
        <v>72</v>
      </c>
      <c r="AM135" s="22" t="s">
        <v>68</v>
      </c>
      <c r="AN135" s="23" t="s">
        <v>69</v>
      </c>
      <c r="AO135" s="23" t="s">
        <v>70</v>
      </c>
      <c r="AP135" s="24" t="s">
        <v>71</v>
      </c>
      <c r="AQ135" s="24" t="s">
        <v>72</v>
      </c>
      <c r="AR135" s="22" t="s">
        <v>68</v>
      </c>
      <c r="AS135" s="23" t="s">
        <v>69</v>
      </c>
      <c r="AT135" s="23" t="s">
        <v>70</v>
      </c>
      <c r="AU135" s="24" t="s">
        <v>71</v>
      </c>
      <c r="AV135" s="24" t="s">
        <v>72</v>
      </c>
    </row>
    <row r="136" spans="1:48" x14ac:dyDescent="0.25">
      <c r="A136" t="s">
        <v>129</v>
      </c>
      <c r="B136"/>
      <c r="C136">
        <v>68900</v>
      </c>
      <c r="D136" t="s">
        <v>117</v>
      </c>
      <c r="H136">
        <v>0</v>
      </c>
      <c r="I136">
        <f>IF($H136&lt;=$C$12,$H136*MIN($C$36,$C$44)+$I133,"")</f>
        <v>1.2704502078533867E-4</v>
      </c>
      <c r="J136">
        <f>IF($H136&lt;=$C$12,0,"")</f>
        <v>0</v>
      </c>
      <c r="K136">
        <f>IF($H136&lt;=$C$12,0,"")</f>
        <v>0</v>
      </c>
      <c r="L136">
        <f>IF($H136&lt;=$C$12,0,"")</f>
        <v>0</v>
      </c>
      <c r="M136">
        <f>IF($H136&lt;=$C$12,0,"")</f>
        <v>0</v>
      </c>
      <c r="N136">
        <f>IF($H136&lt;=$C$12,$H136*MIN($C$36,$C$45)+$I133,"")</f>
        <v>1.2704502078533867E-4</v>
      </c>
      <c r="O136">
        <f>IF($H136&lt;=$C$12,0,"")</f>
        <v>0</v>
      </c>
      <c r="P136">
        <f>IF($H136&lt;=$C$12,0,"")</f>
        <v>0</v>
      </c>
      <c r="Q136">
        <f>IF($H136&lt;=$C$12,0,"")</f>
        <v>0</v>
      </c>
      <c r="R136">
        <f>IF($H136&lt;=$C$12,0,"")</f>
        <v>0</v>
      </c>
      <c r="S136">
        <f>IF($H136&lt;=$C$12,$H136*MIN($C$36,$C$46)+$I133,"")</f>
        <v>1.2704502078533867E-4</v>
      </c>
      <c r="T136">
        <f>IF($H136&lt;=$C$12,0,"")</f>
        <v>0</v>
      </c>
      <c r="U136">
        <f>IF($H136&lt;=$C$12,0,"")</f>
        <v>0</v>
      </c>
      <c r="V136">
        <f>IF($H136&lt;=$C$12,0,"")</f>
        <v>0</v>
      </c>
      <c r="W136">
        <f>IF($H136&lt;=$C$12,0,"")</f>
        <v>0</v>
      </c>
      <c r="X136">
        <f>IF($H136&lt;=$C$12,$H136*MIN($C$36,$C$47)+$I133,"")</f>
        <v>1.2704502078533867E-4</v>
      </c>
      <c r="Y136">
        <f>IF($H136&lt;=$C$12,0,"")</f>
        <v>0</v>
      </c>
      <c r="Z136">
        <f>IF($H136&lt;=$C$12,0,"")</f>
        <v>0</v>
      </c>
      <c r="AA136">
        <f>IF($H136&lt;=$C$12,0,"")</f>
        <v>0</v>
      </c>
      <c r="AB136">
        <f>IF($H136&lt;=$C$12,0,"")</f>
        <v>0</v>
      </c>
      <c r="AC136">
        <f>IF($H136&lt;=$C$12,$H136*MIN($C$36,$C$44)+$I133,"")</f>
        <v>1.2704502078533867E-4</v>
      </c>
      <c r="AD136">
        <f>IF($H136&lt;=$C$12,0,"")</f>
        <v>0</v>
      </c>
      <c r="AE136">
        <f>IF($H136&lt;=$C$12,0,"")</f>
        <v>0</v>
      </c>
      <c r="AF136">
        <f>IF($H136&lt;=$C$12,0,"")</f>
        <v>0</v>
      </c>
      <c r="AG136">
        <f>IF($H136&lt;=$C$12,0,"")</f>
        <v>0</v>
      </c>
      <c r="AH136">
        <f>IF($H136&lt;=$C$12,$H136*MIN($C$36,$C$45)+$I133,"")</f>
        <v>1.2704502078533867E-4</v>
      </c>
      <c r="AI136">
        <f>IF($H136&lt;=$C$12,0,"")</f>
        <v>0</v>
      </c>
      <c r="AJ136">
        <f>IF($H136&lt;=$C$12,0,"")</f>
        <v>0</v>
      </c>
      <c r="AK136">
        <f>IF($H136&lt;=$C$12,0,"")</f>
        <v>0</v>
      </c>
      <c r="AL136">
        <f>IF($H136&lt;=$C$12,0,"")</f>
        <v>0</v>
      </c>
      <c r="AM136">
        <f>IF($H136&lt;=$C$12,$H136*MIN($C$36,$C$46)+$I133,"")</f>
        <v>1.2704502078533867E-4</v>
      </c>
      <c r="AN136">
        <f>IF($H136&lt;=$C$12,0,"")</f>
        <v>0</v>
      </c>
      <c r="AO136">
        <f>IF($H136&lt;=$C$12,0,"")</f>
        <v>0</v>
      </c>
      <c r="AP136">
        <f>IF($H136&lt;=$C$12,0,"")</f>
        <v>0</v>
      </c>
      <c r="AQ136">
        <f>IF($H136&lt;=$C$12,0,"")</f>
        <v>0</v>
      </c>
      <c r="AR136">
        <f>IF($H136&lt;=$C$12,$H136*MIN($C$36,$C$47)+$I133,"")</f>
        <v>1.2704502078533867E-4</v>
      </c>
      <c r="AS136">
        <f>IF($H136&lt;=$C$12,0,"")</f>
        <v>0</v>
      </c>
      <c r="AT136">
        <f>IF($H136&lt;=$C$12,0,"")</f>
        <v>0</v>
      </c>
      <c r="AU136">
        <f>IF($H136&lt;=$C$12,0,"")</f>
        <v>0</v>
      </c>
      <c r="AV136">
        <f>IF($H136&lt;=$C$12,0,"")</f>
        <v>0</v>
      </c>
    </row>
    <row r="137" spans="1:48" x14ac:dyDescent="0.25">
      <c r="A137" t="s">
        <v>130</v>
      </c>
      <c r="B137"/>
      <c r="C137" s="2">
        <f>C133*C135^3/12</f>
        <v>44.937573333333326</v>
      </c>
      <c r="D137" s="2" t="s">
        <v>80</v>
      </c>
      <c r="H137">
        <v>1</v>
      </c>
      <c r="I137">
        <f>IF($H137&lt;=$C$12,$H137*MIN($C$36,$C$44)+$I133,"")</f>
        <v>6.6037837940262595E-4</v>
      </c>
      <c r="J137">
        <f>IF($H137&lt;=$C$12,$C$4*COS($C$10)*COS(MIN($C$36,$C$44)+$I133)+K136*SIN(MIN($C$36,$C$44)+$I133),"")</f>
        <v>2.217596275673833</v>
      </c>
      <c r="K137">
        <f>IF($H137&lt;=$C$12,-$C$4*COS($C$10)*SIN(MIN($C$36,$C$44)+$I133)+K136*COS(MIN($C$36,$C$44)+$I133),"")</f>
        <v>-1.4644528475812265E-3</v>
      </c>
      <c r="L137">
        <f>IF($H137&lt;=$C$12,L136+J137,"")</f>
        <v>2.217596275673833</v>
      </c>
      <c r="M137">
        <f>IF($H137&lt;=$C$12,M136+K137,"")</f>
        <v>-1.4644528475812265E-3</v>
      </c>
      <c r="N137">
        <f>IF($H137&lt;=$C$12,$H137*MIN($C$36,$C$45)+$I133,"")</f>
        <v>3.5561645134704915E-4</v>
      </c>
      <c r="O137">
        <f>IF($H137&lt;=$C$12,$C$4*COS($C$10)*COS(MIN($C$36,$C$44)+$I133)+P136*SIN(MIN($C$36,$C$44)+$I133),"")</f>
        <v>2.217596275673833</v>
      </c>
      <c r="P137">
        <f>IF($H137&lt;=$C$12,-$C$4*COS($C$10)*SIN(MIN($C$36,$C$44)+$I133)+P136*COS(MIN($C$36,$C$44)+$I133),"")</f>
        <v>-1.4644528475812265E-3</v>
      </c>
      <c r="Q137">
        <f>IF($H137&lt;=$C$12,Q136+O137,"")</f>
        <v>2.217596275673833</v>
      </c>
      <c r="R137">
        <f>IF($H137&lt;=$C$12,R136+P137,"")</f>
        <v>-1.4644528475812265E-3</v>
      </c>
      <c r="S137">
        <f>IF($H137&lt;=$C$12,$H137*MIN($C$36,$C$46)+$I133,"")</f>
        <v>7.9371173683473136E-4</v>
      </c>
      <c r="T137">
        <f>IF($H137&lt;=$C$12,$C$4*COS($C$10)*COS(MIN($C$36,$C$46)+$I133)+U136*SIN(MIN($C$36,$C$46)+$I133),"")</f>
        <v>2.2175960607014447</v>
      </c>
      <c r="U137">
        <f>IF($H137&lt;=$C$12,-$C$4*COS($C$10)*SIN(MIN($C$36,$C$46)+$I133)+U136*COS(MIN($C$36,$C$46)+$I133),"")</f>
        <v>-1.7601323905523003E-3</v>
      </c>
      <c r="V137">
        <f>IF($H137&lt;=$C$12,V136+T137,"")</f>
        <v>2.2175960607014447</v>
      </c>
      <c r="W137">
        <f>IF($H137&lt;=$C$12,W136+U137,"")</f>
        <v>-1.7601323905523003E-3</v>
      </c>
      <c r="X137">
        <f>IF($H137&lt;=$C$12,$H137*MIN($C$36,$C$47)+$I133,"")</f>
        <v>5.84187893850452E-4</v>
      </c>
      <c r="Y137">
        <f>IF($H137&lt;=$C$12,$C$4*COS($C$10)*COS(MIN($C$36,$C$47)+$I133)+Z136*SIN(MIN($C$36,$C$47)+$I133),"")</f>
        <v>2.2175963808146442</v>
      </c>
      <c r="Z137">
        <f>IF($H137&lt;=$C$12,-$C$4*COS($C$10)*SIN(MIN($C$36,$C$47)+$I133)+Z136*COS(MIN($C$36,$C$47)+$I133),"")</f>
        <v>-1.2954931064918457E-3</v>
      </c>
      <c r="AA137">
        <f>IF($H137&lt;=$C$12,AA136+Y137,"")</f>
        <v>2.2175963808146442</v>
      </c>
      <c r="AB137">
        <f>IF($H137&lt;=$C$12,AB136+Z137,"")</f>
        <v>-1.2954931064918457E-3</v>
      </c>
      <c r="AC137">
        <f>IF($H137&lt;=$C$12,$H137*MIN($C$36,$C$44)+$I133,"")</f>
        <v>6.6037837940262595E-4</v>
      </c>
      <c r="AD137">
        <f>IF($H137&lt;=$C$12,$E$4*COS($C$10)*COS(MIN($C$36,$C$44)+$I133)+AE136*SIN(MIN($C$36,$C$44)+$I133),"")</f>
        <v>56.326945402115349</v>
      </c>
      <c r="AE137">
        <f>IF($H137&lt;=$C$12,-$E$4*COS($C$10)*SIN(MIN($C$36,$C$44)+$I133)+AE136*COS(MIN($C$36,$C$44)+$I133),"")</f>
        <v>-3.7197102328563152E-2</v>
      </c>
      <c r="AF137">
        <f>IF($H137&lt;=$C$12,AF136+AD137,"")</f>
        <v>56.326945402115349</v>
      </c>
      <c r="AG137">
        <f>IF($H137&lt;=$C$12,AG136+AE137,"")</f>
        <v>-3.7197102328563152E-2</v>
      </c>
      <c r="AH137">
        <f>IF($H137&lt;=$C$12,$H137*MIN($C$36,$C$45)+$I133,"")</f>
        <v>3.5561645134704915E-4</v>
      </c>
      <c r="AI137">
        <f>IF($H137&lt;=$C$12,$E$4*COS($C$10)*COS(MIN($C$36,$C$45)+$I133)+AJ136*SIN(MIN($C$36,$C$45)+$I133),"")</f>
        <v>56.32695412255719</v>
      </c>
      <c r="AJ137">
        <f>IF($H137&lt;=$C$12,-$E$4*COS($C$10)*SIN(MIN($C$36,$C$45)+$I133)+AJ136*COS(MIN($C$36,$C$45)+$I133),"")</f>
        <v>-2.0030792384636936E-2</v>
      </c>
      <c r="AK137">
        <f>IF($H137&lt;=$C$12,AK136+AI137,"")</f>
        <v>56.32695412255719</v>
      </c>
      <c r="AL137">
        <f>IF($H137&lt;=$C$12,AL136+AJ137,"")</f>
        <v>-2.0030792384636936E-2</v>
      </c>
      <c r="AM137">
        <f>IF($H137&lt;=$C$12,$H137*MIN($C$36,$C$46)+$I133,"")</f>
        <v>7.9371173683473136E-4</v>
      </c>
      <c r="AN137">
        <f>IF($H137&lt;=$C$12,$E$4*COS($C$10)*COS(MIN($C$36,$C$46)+$I133)+AO136*SIN(MIN($C$36,$C$46)+$I133),"")</f>
        <v>56.32693994181669</v>
      </c>
      <c r="AO137">
        <f>IF($H137&lt;=$C$12,-$E$4*COS($C$10)*SIN(MIN($C$36,$C$46)+$I133)+AO136*COS(MIN($C$36,$C$46)+$I133),"")</f>
        <v>-4.4707362720028426E-2</v>
      </c>
      <c r="AP137">
        <f>IF($H137&lt;=$C$12,AP136+AN137,"")</f>
        <v>56.32693994181669</v>
      </c>
      <c r="AQ137">
        <f>IF($H137&lt;=$C$12,AQ136+AO137,"")</f>
        <v>-4.4707362720028426E-2</v>
      </c>
      <c r="AR137">
        <f>IF($H137&lt;=$C$12,$H137*MIN($C$36,$C$47)+$I133,"")</f>
        <v>5.84187893850452E-4</v>
      </c>
      <c r="AS137">
        <f>IF($H137&lt;=$C$12,$E$4*COS($C$10)*COS(MIN($C$36,$C$47)+$I133)+AT136*SIN(MIN($C$36,$C$47)+$I133),"")</f>
        <v>56.326948072691955</v>
      </c>
      <c r="AT137">
        <f>IF($H137&lt;=$C$12,-$E$4*COS($C$10)*SIN(MIN($C$36,$C$47)+$I133)+AT136*COS(MIN($C$36,$C$47)+$I133),"")</f>
        <v>-3.2905524904892881E-2</v>
      </c>
      <c r="AU137">
        <f>IF($H137&lt;=$C$12,AU136+AS137,"")</f>
        <v>56.326948072691955</v>
      </c>
      <c r="AV137">
        <f>IF($H137&lt;=$C$12,AV136+AT137,"")</f>
        <v>-3.2905524904892881E-2</v>
      </c>
    </row>
    <row r="138" spans="1:48" x14ac:dyDescent="0.25">
      <c r="A138" t="s">
        <v>127</v>
      </c>
      <c r="B138"/>
      <c r="C138" s="2">
        <f>C132*C134^3/(48*C136*C137)</f>
        <v>3.6334876140093788E-3</v>
      </c>
      <c r="D138" s="2" t="s">
        <v>2</v>
      </c>
      <c r="H138">
        <v>2</v>
      </c>
      <c r="I138">
        <f>IF($H138&lt;=$C$12,$H138*MIN($C$36,$C$44)+$I133,"")</f>
        <v>1.1937117380199131E-3</v>
      </c>
      <c r="J138">
        <f t="shared" ref="J138:J146" si="221">IF($H138&lt;=$C$12,$C$4*COS($C$10)*COS(MIN($C$36,$C$44))+K137*SIN(MIN($C$36,$C$44)),"")</f>
        <v>2.2175956627872697</v>
      </c>
      <c r="K138">
        <f t="shared" ref="K138:K146" si="222">IF($H138&lt;=$C$12,-$C$4*COS($C$10)*SIN(MIN($C$36,$C$44))+K137*COS(MIN($C$36,$C$44)),"")</f>
        <v>-2.6471709108876599E-3</v>
      </c>
      <c r="L138">
        <f t="shared" ref="L138:L146" si="223">IF($H138&lt;=$C$12,L137+J138,"")</f>
        <v>4.4351919384611023</v>
      </c>
      <c r="M138">
        <f t="shared" ref="M138:M146" si="224">IF($H138&lt;=$C$12,M137+K138,"")</f>
        <v>-4.1116237584688867E-3</v>
      </c>
      <c r="N138">
        <f>IF($H138&lt;=$C$12,$H138*MIN($C$36,$C$45)+$I133,"")</f>
        <v>5.8418788190875968E-4</v>
      </c>
      <c r="O138">
        <f t="shared" ref="O138:O146" si="225">IF($H138&lt;=$C$12,$C$4*COS($C$10)*COS(MIN($C$36,$C$45))+P137*SIN(MIN($C$36,$C$45)),"")</f>
        <v>2.2175963665592113</v>
      </c>
      <c r="P138">
        <f t="shared" ref="P138:P146" si="226">IF($H138&lt;=$C$12,-$C$4*COS($C$10)*SIN(MIN($C$36,$C$45))+P137*COS(MIN($C$36,$C$45)),"")</f>
        <v>-1.971332068576497E-3</v>
      </c>
      <c r="Q138">
        <f t="shared" ref="Q138:Q146" si="227">IF($H138&lt;=$C$12,Q137+O138,"")</f>
        <v>4.4351926422330443</v>
      </c>
      <c r="R138">
        <f t="shared" ref="R138:R146" si="228">IF($H138&lt;=$C$12,R137+P138,"")</f>
        <v>-3.4357849161577234E-3</v>
      </c>
      <c r="S138">
        <f>IF($H138&lt;=$C$12,$H138*MIN($C$36,$C$46)+$I133,"")</f>
        <v>1.4603784528841239E-3</v>
      </c>
      <c r="T138">
        <f t="shared" ref="T138:T146" si="229">IF($H138&lt;=$C$12,$C$4*COS($C$10)*COS(MIN($C$36,$C$46))+U137*SIN(MIN($C$36,$C$46)),"")</f>
        <v>2.2175950929994213</v>
      </c>
      <c r="U138">
        <f t="shared" ref="U138:U146" si="230">IF($H138&lt;=$C$12,-$C$4*COS($C$10)*SIN(MIN($C$36,$C$46))+U137*COS(MIN($C$36,$C$46)),"")</f>
        <v>-3.2385298388919589E-3</v>
      </c>
      <c r="V138">
        <f t="shared" ref="V138:V146" si="231">IF($H138&lt;=$C$12,V137+T138,"")</f>
        <v>4.4351911537008659</v>
      </c>
      <c r="W138">
        <f t="shared" ref="W138:W146" si="232">IF($H138&lt;=$C$12,W137+U138,"")</f>
        <v>-4.9986622294442597E-3</v>
      </c>
      <c r="X138">
        <f>IF($H138&lt;=$C$12,$H138*MIN($C$36,$C$47)+$I133,"")</f>
        <v>1.0413307669155654E-3</v>
      </c>
      <c r="Y138">
        <f t="shared" ref="Y138:Y146" si="233">IF($H138&lt;=$C$12,$C$4*COS($C$10)*COS(MIN($C$36,$C$47))+Z137*SIN(MIN($C$36,$C$47)),"")</f>
        <v>2.2175959352786845</v>
      </c>
      <c r="Z138">
        <f t="shared" ref="Z138:Z146" si="234">IF($H138&lt;=$C$12,-$C$4*COS($C$10)*SIN(MIN($C$36,$C$47))+Z137*COS(MIN($C$36,$C$47)),"")</f>
        <v>-2.3092514896267597E-3</v>
      </c>
      <c r="AA138">
        <f t="shared" ref="AA138:AA146" si="235">IF($H138&lt;=$C$12,AA137+Y138,"")</f>
        <v>4.4351923160933282</v>
      </c>
      <c r="AB138">
        <f t="shared" ref="AB138:AB146" si="236">IF($H138&lt;=$C$12,AB137+Z138,"")</f>
        <v>-3.6047445961186054E-3</v>
      </c>
      <c r="AC138">
        <f>IF($H138&lt;=$C$12,$H138*MIN($C$36,$C$44)+$I133,"")</f>
        <v>1.1937117380199131E-3</v>
      </c>
      <c r="AD138">
        <f t="shared" ref="AD138:AD146" si="237">IF($H138&lt;=$C$12,$E$4*COS($C$10)*COS(MIN($C$36,$C$44))+AE137*SIN(MIN($C$36,$C$44)),"")</f>
        <v>56.326929834796637</v>
      </c>
      <c r="AE138">
        <f t="shared" ref="AE138:AE146" si="238">IF($H138&lt;=$C$12,-$E$4*COS($C$10)*SIN(MIN($C$36,$C$44))+AE137*COS(MIN($C$36,$C$44)),"")</f>
        <v>-6.7238141136546553E-2</v>
      </c>
      <c r="AF138">
        <f t="shared" ref="AF138:AF146" si="239">IF($H138&lt;=$C$12,AF137+AD138,"")</f>
        <v>112.65387523691199</v>
      </c>
      <c r="AG138">
        <f t="shared" ref="AG138:AG146" si="240">IF($H138&lt;=$C$12,AG137+AE138,"")</f>
        <v>-0.10443524346510971</v>
      </c>
      <c r="AH138">
        <f>IF($H138&lt;=$C$12,$H138*MIN($C$36,$C$45)+$I133,"")</f>
        <v>5.8418788190875968E-4</v>
      </c>
      <c r="AI138">
        <f t="shared" ref="AI138:AI146" si="241">IF($H138&lt;=$C$12,$E$4*COS($C$10)*COS(MIN($C$36,$C$45))+AJ137*SIN(MIN($C$36,$C$45)),"")</f>
        <v>56.326951634331948</v>
      </c>
      <c r="AJ138">
        <f t="shared" ref="AJ138:AJ146" si="242">IF($H138&lt;=$C$12,-$E$4*COS($C$10)*SIN(MIN($C$36,$C$45))+AJ137*COS(MIN($C$36,$C$45)),"")</f>
        <v>-3.2905525046342865E-2</v>
      </c>
      <c r="AK138">
        <f t="shared" ref="AK138:AK146" si="243">IF($H138&lt;=$C$12,AK137+AI138,"")</f>
        <v>112.65390575688915</v>
      </c>
      <c r="AL138">
        <f t="shared" ref="AL138:AL146" si="244">IF($H138&lt;=$C$12,AL137+AJ138,"")</f>
        <v>-5.2936317430979804E-2</v>
      </c>
      <c r="AM138">
        <f>IF($H138&lt;=$C$12,$H138*MIN($C$36,$C$46)+$I133,"")</f>
        <v>1.4603784528841239E-3</v>
      </c>
      <c r="AN138">
        <f t="shared" ref="AN138:AN146" si="245">IF($H138&lt;=$C$12,$E$4*COS($C$10)*COS(MIN($C$36,$C$46))+AO137*SIN(MIN($C$36,$C$46)),"")</f>
        <v>56.326915362185296</v>
      </c>
      <c r="AO138">
        <f t="shared" ref="AO138:AO146" si="246">IF($H138&lt;=$C$12,-$E$4*COS($C$10)*SIN(MIN($C$36,$C$46))+AO137*COS(MIN($C$36,$C$46)),"")</f>
        <v>-8.2258657907855748E-2</v>
      </c>
      <c r="AP138">
        <f t="shared" ref="AP138:AP146" si="247">IF($H138&lt;=$C$12,AP137+AN138,"")</f>
        <v>112.65385530400198</v>
      </c>
      <c r="AQ138">
        <f t="shared" ref="AQ138:AQ146" si="248">IF($H138&lt;=$C$12,AQ137+AO138,"")</f>
        <v>-0.12696602062788417</v>
      </c>
      <c r="AR138">
        <f>IF($H138&lt;=$C$12,$H138*MIN($C$36,$C$47)+$I133,"")</f>
        <v>1.0413307669155654E-3</v>
      </c>
      <c r="AS138">
        <f t="shared" ref="AS138:AS146" si="249">IF($H138&lt;=$C$12,$E$4*COS($C$10)*COS(MIN($C$36,$C$47))+AT137*SIN(MIN($C$36,$C$47)),"")</f>
        <v>56.326936756078588</v>
      </c>
      <c r="AT138">
        <f t="shared" ref="AT138:AT146" si="250">IF($H138&lt;=$C$12,-$E$4*COS($C$10)*SIN(MIN($C$36,$C$47))+AT137*COS(MIN($C$36,$C$47)),"")</f>
        <v>-5.8654987836519693E-2</v>
      </c>
      <c r="AU138">
        <f t="shared" ref="AU138:AU146" si="251">IF($H138&lt;=$C$12,AU137+AS138,"")</f>
        <v>112.65388482877054</v>
      </c>
      <c r="AV138">
        <f t="shared" ref="AV138:AV146" si="252">IF($H138&lt;=$C$12,AV137+AT138,"")</f>
        <v>-9.1560512741412581E-2</v>
      </c>
    </row>
    <row r="139" spans="1:48" x14ac:dyDescent="0.25">
      <c r="A139" t="s">
        <v>128</v>
      </c>
      <c r="B139"/>
      <c r="C139">
        <v>28.6</v>
      </c>
      <c r="D139" t="s">
        <v>2</v>
      </c>
      <c r="H139">
        <v>3</v>
      </c>
      <c r="I139">
        <f>IF($H139&lt;=$C$12,$H139*MIN($C$36,$C$44)+$I133,"")</f>
        <v>1.7270450966372002E-3</v>
      </c>
      <c r="J139">
        <f t="shared" si="221"/>
        <v>2.2175950320043025</v>
      </c>
      <c r="K139">
        <f t="shared" si="222"/>
        <v>-3.8298888059852898E-3</v>
      </c>
      <c r="L139">
        <f t="shared" si="223"/>
        <v>6.6527869704654048</v>
      </c>
      <c r="M139">
        <f t="shared" si="224"/>
        <v>-7.9415125644541756E-3</v>
      </c>
      <c r="N139">
        <f>IF($H139&lt;=$C$12,$H139*MIN($C$36,$C$45)+$I133,"")</f>
        <v>8.1275931247046999E-4</v>
      </c>
      <c r="O139">
        <f t="shared" si="225"/>
        <v>2.2175962507011038</v>
      </c>
      <c r="P139">
        <f t="shared" si="226"/>
        <v>-2.4782112763308407E-3</v>
      </c>
      <c r="Q139">
        <f t="shared" si="227"/>
        <v>6.6527888929341481</v>
      </c>
      <c r="R139">
        <f t="shared" si="228"/>
        <v>-5.9139961924885645E-3</v>
      </c>
      <c r="S139">
        <f>IF($H139&lt;=$C$12,$H139*MIN($C$36,$C$46)+$I133,"")</f>
        <v>2.1270451689335166E-3</v>
      </c>
      <c r="T139">
        <f t="shared" si="229"/>
        <v>2.2175941074011223</v>
      </c>
      <c r="U139">
        <f t="shared" si="230"/>
        <v>-4.7169269586988145E-3</v>
      </c>
      <c r="V139">
        <f t="shared" si="231"/>
        <v>6.6527852611019878</v>
      </c>
      <c r="W139">
        <f t="shared" si="232"/>
        <v>-9.7155891881430742E-3</v>
      </c>
      <c r="X139">
        <f>IF($H139&lt;=$C$12,$H139*MIN($C$36,$C$47)+$I133,"")</f>
        <v>1.4984736399806786E-3</v>
      </c>
      <c r="Y139">
        <f t="shared" si="233"/>
        <v>2.2175954718462809</v>
      </c>
      <c r="Z139">
        <f t="shared" si="234"/>
        <v>-3.3230097668342619E-3</v>
      </c>
      <c r="AA139">
        <f t="shared" si="235"/>
        <v>6.6527877879396087</v>
      </c>
      <c r="AB139">
        <f t="shared" si="236"/>
        <v>-6.9277543629528669E-3</v>
      </c>
      <c r="AC139">
        <f>IF($H139&lt;=$C$12,$H139*MIN($C$36,$C$44)+$I133,"")</f>
        <v>1.7270450966372002E-3</v>
      </c>
      <c r="AD139">
        <f t="shared" si="237"/>
        <v>56.326913812909275</v>
      </c>
      <c r="AE139">
        <f t="shared" si="238"/>
        <v>-9.7279175672026361E-2</v>
      </c>
      <c r="AF139">
        <f t="shared" si="239"/>
        <v>168.98078904982125</v>
      </c>
      <c r="AG139">
        <f t="shared" si="240"/>
        <v>-0.20171441913713606</v>
      </c>
      <c r="AH139">
        <f>IF($H139&lt;=$C$12,$H139*MIN($C$36,$C$45)+$I133,"")</f>
        <v>8.1275931247046999E-4</v>
      </c>
      <c r="AI139">
        <f t="shared" si="241"/>
        <v>56.326948691535911</v>
      </c>
      <c r="AJ139">
        <f t="shared" si="242"/>
        <v>-4.5780257371729235E-2</v>
      </c>
      <c r="AK139">
        <f t="shared" si="243"/>
        <v>168.98085444842505</v>
      </c>
      <c r="AL139">
        <f t="shared" si="244"/>
        <v>-9.871657480270904E-2</v>
      </c>
      <c r="AM139">
        <f>IF($H139&lt;=$C$12,$H139*MIN($C$36,$C$46)+$I133,"")</f>
        <v>2.1270451689335166E-3</v>
      </c>
      <c r="AN139">
        <f t="shared" si="245"/>
        <v>56.326890327988501</v>
      </c>
      <c r="AO139">
        <f t="shared" si="246"/>
        <v>-0.11980994475094989</v>
      </c>
      <c r="AP139">
        <f t="shared" si="247"/>
        <v>168.98074563199049</v>
      </c>
      <c r="AQ139">
        <f t="shared" si="248"/>
        <v>-0.24677596537883406</v>
      </c>
      <c r="AR139">
        <f>IF($H139&lt;=$C$12,$H139*MIN($C$36,$C$47)+$I133,"")</f>
        <v>1.4984736399806786E-3</v>
      </c>
      <c r="AS139">
        <f t="shared" si="249"/>
        <v>56.326924984895534</v>
      </c>
      <c r="AT139">
        <f t="shared" si="250"/>
        <v>-8.4404448077590233E-2</v>
      </c>
      <c r="AU139">
        <f t="shared" si="251"/>
        <v>168.98080981366607</v>
      </c>
      <c r="AV139">
        <f t="shared" si="252"/>
        <v>-0.17596496081900281</v>
      </c>
    </row>
    <row r="140" spans="1:48" x14ac:dyDescent="0.25">
      <c r="A140" s="14" t="s">
        <v>131</v>
      </c>
      <c r="B140" s="14"/>
      <c r="C140" s="6">
        <f>ATAN(C138/C139)</f>
        <v>1.2704502078533867E-4</v>
      </c>
      <c r="D140" s="6" t="s">
        <v>13</v>
      </c>
      <c r="E140" s="6">
        <f>DEGREES(C140)</f>
        <v>7.2791434991517252E-3</v>
      </c>
      <c r="F140" s="6" t="s">
        <v>12</v>
      </c>
      <c r="H140">
        <v>4</v>
      </c>
      <c r="I140">
        <f>IF($H140&lt;=$C$12,$H140*MIN($C$36,$C$44)+$I133,"")</f>
        <v>2.2603784552544877E-3</v>
      </c>
      <c r="J140">
        <f t="shared" si="221"/>
        <v>2.217594401221425</v>
      </c>
      <c r="K140">
        <f t="shared" si="222"/>
        <v>-5.0126065328741408E-3</v>
      </c>
      <c r="L140">
        <f t="shared" si="223"/>
        <v>8.8703813716868289</v>
      </c>
      <c r="M140">
        <f t="shared" si="224"/>
        <v>-1.2954119097328316E-2</v>
      </c>
      <c r="N140">
        <f>IF($H140&lt;=$C$12,$H140*MIN($C$36,$C$45)+$I133,"")</f>
        <v>1.0413307430321805E-3</v>
      </c>
      <c r="O140">
        <f t="shared" si="225"/>
        <v>2.2175961348429989</v>
      </c>
      <c r="P140">
        <f t="shared" si="226"/>
        <v>-2.9850904708442578E-3</v>
      </c>
      <c r="Q140">
        <f t="shared" si="227"/>
        <v>8.8703850277771465</v>
      </c>
      <c r="R140">
        <f t="shared" si="228"/>
        <v>-8.8990866633328232E-3</v>
      </c>
      <c r="S140">
        <f>IF($H140&lt;=$C$12,$H140*MIN($C$36,$C$46)+$I133,"")</f>
        <v>2.7937118849829094E-3</v>
      </c>
      <c r="T140">
        <f t="shared" si="229"/>
        <v>2.2175931218030422</v>
      </c>
      <c r="U140">
        <f t="shared" si="230"/>
        <v>-6.1953237499729405E-3</v>
      </c>
      <c r="V140">
        <f t="shared" si="231"/>
        <v>8.8703783829050309</v>
      </c>
      <c r="W140">
        <f t="shared" si="232"/>
        <v>-1.5910912938116015E-2</v>
      </c>
      <c r="X140">
        <f>IF($H140&lt;=$C$12,$H140*MIN($C$36,$C$47)+$I133,"")</f>
        <v>1.9556165130457919E-3</v>
      </c>
      <c r="Y140">
        <f t="shared" si="233"/>
        <v>2.2175950084139258</v>
      </c>
      <c r="Z140">
        <f t="shared" si="234"/>
        <v>-4.3367679381143632E-3</v>
      </c>
      <c r="AA140">
        <f t="shared" si="235"/>
        <v>8.8703827963535353</v>
      </c>
      <c r="AB140">
        <f t="shared" si="236"/>
        <v>-1.1264522301067229E-2</v>
      </c>
      <c r="AC140">
        <f>IF($H140&lt;=$C$12,$H140*MIN($C$36,$C$44)+$I133,"")</f>
        <v>2.2603784552544877E-3</v>
      </c>
      <c r="AD140">
        <f t="shared" si="237"/>
        <v>56.326897791024187</v>
      </c>
      <c r="AE140">
        <f t="shared" si="238"/>
        <v>-0.12732020593500318</v>
      </c>
      <c r="AF140">
        <f t="shared" si="239"/>
        <v>225.30768684084543</v>
      </c>
      <c r="AG140">
        <f t="shared" si="240"/>
        <v>-0.32903462507213921</v>
      </c>
      <c r="AH140">
        <f>IF($H140&lt;=$C$12,$H140*MIN($C$36,$C$45)+$I133,"")</f>
        <v>1.0413307430321805E-3</v>
      </c>
      <c r="AI140">
        <f t="shared" si="241"/>
        <v>56.326945748739952</v>
      </c>
      <c r="AJ140">
        <f t="shared" si="242"/>
        <v>-5.8654989360796064E-2</v>
      </c>
      <c r="AK140">
        <f t="shared" si="243"/>
        <v>225.30780019716499</v>
      </c>
      <c r="AL140">
        <f t="shared" si="244"/>
        <v>-0.15737156416350512</v>
      </c>
      <c r="AM140">
        <f>IF($H140&lt;=$C$12,$H140*MIN($C$36,$C$46)+$I133,"")</f>
        <v>2.7937118849829094E-3</v>
      </c>
      <c r="AN140">
        <f t="shared" si="245"/>
        <v>56.326865293797276</v>
      </c>
      <c r="AO140">
        <f t="shared" si="246"/>
        <v>-0.15736122324931268</v>
      </c>
      <c r="AP140">
        <f t="shared" si="247"/>
        <v>225.30761092578777</v>
      </c>
      <c r="AQ140">
        <f t="shared" si="248"/>
        <v>-0.40413718862814674</v>
      </c>
      <c r="AR140">
        <f>IF($H140&lt;=$C$12,$H140*MIN($C$36,$C$47)+$I133,"")</f>
        <v>1.9556165130457919E-3</v>
      </c>
      <c r="AS140">
        <f t="shared" si="249"/>
        <v>56.326913213713709</v>
      </c>
      <c r="AT140">
        <f t="shared" si="250"/>
        <v>-0.11015390562810479</v>
      </c>
      <c r="AU140">
        <f t="shared" si="251"/>
        <v>225.30772302737978</v>
      </c>
      <c r="AV140">
        <f t="shared" si="252"/>
        <v>-0.2861188664471076</v>
      </c>
    </row>
    <row r="141" spans="1:48" x14ac:dyDescent="0.25">
      <c r="B141"/>
      <c r="H141">
        <v>5</v>
      </c>
      <c r="I141">
        <f>IF($H141&lt;=$C$12,$H141*MIN($C$36,$C$44)+$I133,"")</f>
        <v>2.793711813871775E-3</v>
      </c>
      <c r="J141">
        <f t="shared" si="221"/>
        <v>2.2175937704386373</v>
      </c>
      <c r="K141">
        <f t="shared" si="222"/>
        <v>-6.1953240915542367E-3</v>
      </c>
      <c r="L141">
        <f t="shared" si="223"/>
        <v>11.087975142125465</v>
      </c>
      <c r="M141">
        <f t="shared" si="224"/>
        <v>-1.9149443188882551E-2</v>
      </c>
      <c r="N141">
        <f>IF($H141&lt;=$C$12,$H141*MIN($C$36,$C$45)+$I133,"")</f>
        <v>1.2699021735938911E-3</v>
      </c>
      <c r="O141">
        <f t="shared" si="225"/>
        <v>2.2175960189848976</v>
      </c>
      <c r="P141">
        <f t="shared" si="226"/>
        <v>-3.4919696521167488E-3</v>
      </c>
      <c r="Q141">
        <f t="shared" si="227"/>
        <v>11.087981046762044</v>
      </c>
      <c r="R141">
        <f t="shared" si="228"/>
        <v>-1.2391056315449572E-2</v>
      </c>
      <c r="S141">
        <f>IF($H141&lt;=$C$12,$H141*MIN($C$36,$C$46)+$I133,"")</f>
        <v>3.4603786010323021E-3</v>
      </c>
      <c r="T141">
        <f t="shared" si="229"/>
        <v>2.2175921362051816</v>
      </c>
      <c r="U141">
        <f t="shared" si="230"/>
        <v>-7.6737202127144096E-3</v>
      </c>
      <c r="V141">
        <f t="shared" si="231"/>
        <v>11.087970519110213</v>
      </c>
      <c r="W141">
        <f t="shared" si="232"/>
        <v>-2.3584633150830425E-2</v>
      </c>
      <c r="X141">
        <f>IF($H141&lt;=$C$12,$H141*MIN($C$36,$C$47)+$I133,"")</f>
        <v>2.4127593861109054E-3</v>
      </c>
      <c r="Y141">
        <f t="shared" si="233"/>
        <v>2.2175945449816186</v>
      </c>
      <c r="Z141">
        <f t="shared" si="234"/>
        <v>-5.3505260034670734E-3</v>
      </c>
      <c r="AA141">
        <f t="shared" si="235"/>
        <v>11.087977341335154</v>
      </c>
      <c r="AB141">
        <f t="shared" si="236"/>
        <v>-1.6615048304534301E-2</v>
      </c>
      <c r="AC141">
        <f>IF($H141&lt;=$C$12,$H141*MIN($C$36,$C$44)+$I133,"")</f>
        <v>2.793711813871775E-3</v>
      </c>
      <c r="AD141">
        <f t="shared" si="237"/>
        <v>56.32688176914138</v>
      </c>
      <c r="AE141">
        <f t="shared" si="238"/>
        <v>-0.15736123192547763</v>
      </c>
      <c r="AF141">
        <f t="shared" si="239"/>
        <v>281.63456860998679</v>
      </c>
      <c r="AG141">
        <f t="shared" si="240"/>
        <v>-0.48639585699761684</v>
      </c>
      <c r="AH141">
        <f>IF($H141&lt;=$C$12,$H141*MIN($C$36,$C$45)+$I133,"")</f>
        <v>1.2699021735938911E-3</v>
      </c>
      <c r="AI141">
        <f t="shared" si="241"/>
        <v>56.326942805944064</v>
      </c>
      <c r="AJ141">
        <f t="shared" si="242"/>
        <v>-7.1529721013543365E-2</v>
      </c>
      <c r="AK141">
        <f t="shared" si="243"/>
        <v>281.63474300310907</v>
      </c>
      <c r="AL141">
        <f t="shared" si="244"/>
        <v>-0.2289012851770485</v>
      </c>
      <c r="AM141">
        <f>IF($H141&lt;=$C$12,$H141*MIN($C$36,$C$46)+$I133,"")</f>
        <v>3.4603786010323021E-3</v>
      </c>
      <c r="AN141">
        <f t="shared" si="245"/>
        <v>56.326840259611608</v>
      </c>
      <c r="AO141">
        <f t="shared" si="246"/>
        <v>-0.19491249340294597</v>
      </c>
      <c r="AP141">
        <f t="shared" si="247"/>
        <v>281.63445118539937</v>
      </c>
      <c r="AQ141">
        <f t="shared" si="248"/>
        <v>-0.59904968203109266</v>
      </c>
      <c r="AR141">
        <f>IF($H141&lt;=$C$12,$H141*MIN($C$36,$C$47)+$I133,"")</f>
        <v>2.4127593861109054E-3</v>
      </c>
      <c r="AS141">
        <f t="shared" si="249"/>
        <v>56.326901442533114</v>
      </c>
      <c r="AT141">
        <f t="shared" si="250"/>
        <v>-0.13590336048806365</v>
      </c>
      <c r="AU141">
        <f t="shared" si="251"/>
        <v>281.63462446991286</v>
      </c>
      <c r="AV141">
        <f t="shared" si="252"/>
        <v>-0.42202222693517122</v>
      </c>
    </row>
    <row r="142" spans="1:48" x14ac:dyDescent="0.25">
      <c r="B142"/>
      <c r="H142">
        <v>6</v>
      </c>
      <c r="I142">
        <f>IF($H142&lt;=$C$12,$H142*MIN($C$36,$C$44)+$I133,"")</f>
        <v>3.3270451724890619E-3</v>
      </c>
      <c r="J142">
        <f t="shared" si="221"/>
        <v>2.2175931396559396</v>
      </c>
      <c r="K142">
        <f t="shared" si="222"/>
        <v>-7.378041482025601E-3</v>
      </c>
      <c r="L142">
        <f t="shared" si="223"/>
        <v>13.305568281781404</v>
      </c>
      <c r="M142">
        <f t="shared" si="224"/>
        <v>-2.6527484670908152E-2</v>
      </c>
      <c r="N142">
        <f>IF($H142&lt;=$C$12,$H142*MIN($C$36,$C$45)+$I133,"")</f>
        <v>1.4984736041556014E-3</v>
      </c>
      <c r="O142">
        <f t="shared" si="225"/>
        <v>2.2175959031267989</v>
      </c>
      <c r="P142">
        <f t="shared" si="226"/>
        <v>-3.998848820148314E-3</v>
      </c>
      <c r="Q142">
        <f t="shared" si="227"/>
        <v>13.305576949888843</v>
      </c>
      <c r="R142">
        <f t="shared" si="228"/>
        <v>-1.6389905135597887E-2</v>
      </c>
      <c r="S142">
        <f>IF($H142&lt;=$C$12,$H142*MIN($C$36,$C$46)+$I133,"")</f>
        <v>4.1270453170816944E-3</v>
      </c>
      <c r="T142">
        <f t="shared" si="229"/>
        <v>2.2175911506075399</v>
      </c>
      <c r="U142">
        <f t="shared" si="230"/>
        <v>-9.1521163469232957E-3</v>
      </c>
      <c r="V142">
        <f t="shared" si="231"/>
        <v>13.305561669717752</v>
      </c>
      <c r="W142">
        <f t="shared" si="232"/>
        <v>-3.2736749497753723E-2</v>
      </c>
      <c r="X142">
        <f>IF($H142&lt;=$C$12,$H142*MIN($C$36,$C$47)+$I133,"")</f>
        <v>2.8699022591760189E-3</v>
      </c>
      <c r="Y142">
        <f t="shared" si="233"/>
        <v>2.2175940815493602</v>
      </c>
      <c r="Z142">
        <f t="shared" si="234"/>
        <v>-6.3642839628924048E-3</v>
      </c>
      <c r="AA142">
        <f t="shared" si="235"/>
        <v>13.305571422884515</v>
      </c>
      <c r="AB142">
        <f t="shared" si="236"/>
        <v>-2.2979332267426704E-2</v>
      </c>
      <c r="AC142">
        <f>IF($H142&lt;=$C$12,$H142*MIN($C$36,$C$44)+$I133,"")</f>
        <v>3.3270451724890619E-3</v>
      </c>
      <c r="AD142">
        <f t="shared" si="237"/>
        <v>56.326865747260854</v>
      </c>
      <c r="AE142">
        <f t="shared" si="238"/>
        <v>-0.18740225364345026</v>
      </c>
      <c r="AF142">
        <f t="shared" si="239"/>
        <v>337.96143435724764</v>
      </c>
      <c r="AG142">
        <f t="shared" si="240"/>
        <v>-0.67379811064106709</v>
      </c>
      <c r="AH142">
        <f>IF($H142&lt;=$C$12,$H142*MIN($C$36,$C$45)+$I133,"")</f>
        <v>1.4984736041556014E-3</v>
      </c>
      <c r="AI142">
        <f t="shared" si="241"/>
        <v>56.326939863148262</v>
      </c>
      <c r="AJ142">
        <f t="shared" si="242"/>
        <v>-8.4404452329971139E-2</v>
      </c>
      <c r="AK142">
        <f t="shared" si="243"/>
        <v>337.96168286625732</v>
      </c>
      <c r="AL142">
        <f t="shared" si="244"/>
        <v>-0.31330573750701962</v>
      </c>
      <c r="AM142">
        <f>IF($H142&lt;=$C$12,$H142*MIN($C$36,$C$46)+$I133,"")</f>
        <v>4.1270453170816944E-3</v>
      </c>
      <c r="AN142">
        <f t="shared" si="245"/>
        <v>56.32681522543151</v>
      </c>
      <c r="AO142">
        <f t="shared" si="246"/>
        <v>-0.23246375521185164</v>
      </c>
      <c r="AP142">
        <f t="shared" si="247"/>
        <v>337.96126641083089</v>
      </c>
      <c r="AQ142">
        <f t="shared" si="248"/>
        <v>-0.83151343724294424</v>
      </c>
      <c r="AR142">
        <f>IF($H142&lt;=$C$12,$H142*MIN($C$36,$C$47)+$I133,"")</f>
        <v>2.8699022591760189E-3</v>
      </c>
      <c r="AS142">
        <f t="shared" si="249"/>
        <v>56.326889671353747</v>
      </c>
      <c r="AT142">
        <f t="shared" si="250"/>
        <v>-0.16165281265746706</v>
      </c>
      <c r="AU142">
        <f t="shared" si="251"/>
        <v>337.9615141412666</v>
      </c>
      <c r="AV142">
        <f t="shared" si="252"/>
        <v>-0.58367503959263822</v>
      </c>
    </row>
    <row r="143" spans="1:48" x14ac:dyDescent="0.25">
      <c r="H143">
        <v>7</v>
      </c>
      <c r="I143" t="str">
        <f>IF($H143&lt;=$C$12,$H143*MIN($C$36,$C$44)+$I133,"")</f>
        <v/>
      </c>
      <c r="J143" t="str">
        <f t="shared" si="221"/>
        <v/>
      </c>
      <c r="K143" t="str">
        <f t="shared" si="222"/>
        <v/>
      </c>
      <c r="L143" t="str">
        <f t="shared" si="223"/>
        <v/>
      </c>
      <c r="M143" t="str">
        <f t="shared" si="224"/>
        <v/>
      </c>
      <c r="N143" t="str">
        <f>IF($H143&lt;=$C$12,$H143*MIN($C$36,$C$45)+$I133,"")</f>
        <v/>
      </c>
      <c r="O143" t="str">
        <f t="shared" si="225"/>
        <v/>
      </c>
      <c r="P143" t="str">
        <f t="shared" si="226"/>
        <v/>
      </c>
      <c r="Q143" t="str">
        <f t="shared" si="227"/>
        <v/>
      </c>
      <c r="R143" t="str">
        <f t="shared" si="228"/>
        <v/>
      </c>
      <c r="S143" t="str">
        <f>IF($H143&lt;=$C$12,$H143*MIN($C$36,$C$46)+$I133,"")</f>
        <v/>
      </c>
      <c r="T143" t="str">
        <f t="shared" si="229"/>
        <v/>
      </c>
      <c r="U143" t="str">
        <f t="shared" si="230"/>
        <v/>
      </c>
      <c r="V143" t="str">
        <f t="shared" si="231"/>
        <v/>
      </c>
      <c r="W143" t="str">
        <f t="shared" si="232"/>
        <v/>
      </c>
      <c r="X143" t="str">
        <f>IF($H143&lt;=$C$12,$H143*MIN($C$36,$C$47)+$I133,"")</f>
        <v/>
      </c>
      <c r="Y143" t="str">
        <f t="shared" si="233"/>
        <v/>
      </c>
      <c r="Z143" t="str">
        <f t="shared" si="234"/>
        <v/>
      </c>
      <c r="AA143" t="str">
        <f t="shared" si="235"/>
        <v/>
      </c>
      <c r="AB143" t="str">
        <f t="shared" si="236"/>
        <v/>
      </c>
      <c r="AC143" t="str">
        <f>IF($H143&lt;=$C$12,$H143*MIN($C$36,$C$44)+$I133,"")</f>
        <v/>
      </c>
      <c r="AD143" t="str">
        <f t="shared" si="237"/>
        <v/>
      </c>
      <c r="AE143" t="str">
        <f t="shared" si="238"/>
        <v/>
      </c>
      <c r="AF143" t="str">
        <f t="shared" si="239"/>
        <v/>
      </c>
      <c r="AG143" t="str">
        <f t="shared" si="240"/>
        <v/>
      </c>
      <c r="AH143" t="str">
        <f>IF($H143&lt;=$C$12,$H143*MIN($C$36,$C$45)+$I133,"")</f>
        <v/>
      </c>
      <c r="AI143" t="str">
        <f t="shared" si="241"/>
        <v/>
      </c>
      <c r="AJ143" t="str">
        <f t="shared" si="242"/>
        <v/>
      </c>
      <c r="AK143" t="str">
        <f t="shared" si="243"/>
        <v/>
      </c>
      <c r="AL143" t="str">
        <f t="shared" si="244"/>
        <v/>
      </c>
      <c r="AM143" t="str">
        <f>IF($H143&lt;=$C$12,$H143*MIN($C$36,$C$46)+$I133,"")</f>
        <v/>
      </c>
      <c r="AN143" t="str">
        <f t="shared" si="245"/>
        <v/>
      </c>
      <c r="AO143" t="str">
        <f t="shared" si="246"/>
        <v/>
      </c>
      <c r="AP143" t="str">
        <f t="shared" si="247"/>
        <v/>
      </c>
      <c r="AQ143" t="str">
        <f t="shared" si="248"/>
        <v/>
      </c>
      <c r="AR143" t="str">
        <f>IF($H143&lt;=$C$12,$H143*MIN($C$36,$C$47)+$I133,"")</f>
        <v/>
      </c>
      <c r="AS143" t="str">
        <f t="shared" si="249"/>
        <v/>
      </c>
      <c r="AT143" t="str">
        <f t="shared" si="250"/>
        <v/>
      </c>
      <c r="AU143" t="str">
        <f t="shared" si="251"/>
        <v/>
      </c>
      <c r="AV143" t="str">
        <f t="shared" si="252"/>
        <v/>
      </c>
    </row>
    <row r="144" spans="1:48" x14ac:dyDescent="0.25">
      <c r="H144">
        <v>8</v>
      </c>
      <c r="I144" t="str">
        <f>IF($H144&lt;=$C$12,$H144*MIN($C$36,$C$44)+$I133,"")</f>
        <v/>
      </c>
      <c r="J144" t="str">
        <f t="shared" si="221"/>
        <v/>
      </c>
      <c r="K144" t="str">
        <f t="shared" si="222"/>
        <v/>
      </c>
      <c r="L144" t="str">
        <f t="shared" si="223"/>
        <v/>
      </c>
      <c r="M144" t="str">
        <f t="shared" si="224"/>
        <v/>
      </c>
      <c r="N144" t="str">
        <f>IF($H144&lt;=$C$12,$H144*MIN($C$36,$C$45)+$I133,"")</f>
        <v/>
      </c>
      <c r="O144" t="str">
        <f t="shared" si="225"/>
        <v/>
      </c>
      <c r="P144" t="str">
        <f t="shared" si="226"/>
        <v/>
      </c>
      <c r="Q144" t="str">
        <f t="shared" si="227"/>
        <v/>
      </c>
      <c r="R144" t="str">
        <f t="shared" si="228"/>
        <v/>
      </c>
      <c r="S144" t="str">
        <f>IF($H144&lt;=$C$12,$H144*MIN($C$36,$C$46)+$I133,"")</f>
        <v/>
      </c>
      <c r="T144" t="str">
        <f t="shared" si="229"/>
        <v/>
      </c>
      <c r="U144" t="str">
        <f t="shared" si="230"/>
        <v/>
      </c>
      <c r="V144" t="str">
        <f t="shared" si="231"/>
        <v/>
      </c>
      <c r="W144" t="str">
        <f t="shared" si="232"/>
        <v/>
      </c>
      <c r="X144" t="str">
        <f>IF($H144&lt;=$C$12,$H144*MIN($C$36,$C$47)+$I133,"")</f>
        <v/>
      </c>
      <c r="Y144" t="str">
        <f t="shared" si="233"/>
        <v/>
      </c>
      <c r="Z144" t="str">
        <f t="shared" si="234"/>
        <v/>
      </c>
      <c r="AA144" t="str">
        <f t="shared" si="235"/>
        <v/>
      </c>
      <c r="AB144" t="str">
        <f t="shared" si="236"/>
        <v/>
      </c>
      <c r="AC144" t="str">
        <f>IF($H144&lt;=$C$12,$H144*MIN($C$36,$C$44)+$I133,"")</f>
        <v/>
      </c>
      <c r="AD144" t="str">
        <f t="shared" si="237"/>
        <v/>
      </c>
      <c r="AE144" t="str">
        <f t="shared" si="238"/>
        <v/>
      </c>
      <c r="AF144" t="str">
        <f t="shared" si="239"/>
        <v/>
      </c>
      <c r="AG144" t="str">
        <f t="shared" si="240"/>
        <v/>
      </c>
      <c r="AH144" t="str">
        <f>IF($H144&lt;=$C$12,$H144*MIN($C$36,$C$45)+$I133,"")</f>
        <v/>
      </c>
      <c r="AI144" t="str">
        <f t="shared" si="241"/>
        <v/>
      </c>
      <c r="AJ144" t="str">
        <f t="shared" si="242"/>
        <v/>
      </c>
      <c r="AK144" t="str">
        <f t="shared" si="243"/>
        <v/>
      </c>
      <c r="AL144" t="str">
        <f t="shared" si="244"/>
        <v/>
      </c>
      <c r="AM144" t="str">
        <f>IF($H144&lt;=$C$12,$H144*MIN($C$36,$C$46)+$I133,"")</f>
        <v/>
      </c>
      <c r="AN144" t="str">
        <f t="shared" si="245"/>
        <v/>
      </c>
      <c r="AO144" t="str">
        <f t="shared" si="246"/>
        <v/>
      </c>
      <c r="AP144" t="str">
        <f t="shared" si="247"/>
        <v/>
      </c>
      <c r="AQ144" t="str">
        <f t="shared" si="248"/>
        <v/>
      </c>
      <c r="AR144" t="str">
        <f>IF($H144&lt;=$C$12,$H144*MIN($C$36,$C$47)+$I133,"")</f>
        <v/>
      </c>
      <c r="AS144" t="str">
        <f t="shared" si="249"/>
        <v/>
      </c>
      <c r="AT144" t="str">
        <f t="shared" si="250"/>
        <v/>
      </c>
      <c r="AU144" t="str">
        <f t="shared" si="251"/>
        <v/>
      </c>
      <c r="AV144" t="str">
        <f t="shared" si="252"/>
        <v/>
      </c>
    </row>
    <row r="145" spans="1:48" x14ac:dyDescent="0.25">
      <c r="H145">
        <v>9</v>
      </c>
      <c r="I145" t="str">
        <f>IF($H145&lt;=$C$12,$H145*MIN($C$36,$C$44)+$I133,"")</f>
        <v/>
      </c>
      <c r="J145" t="str">
        <f t="shared" si="221"/>
        <v/>
      </c>
      <c r="K145" t="str">
        <f t="shared" si="222"/>
        <v/>
      </c>
      <c r="L145" t="str">
        <f t="shared" si="223"/>
        <v/>
      </c>
      <c r="M145" t="str">
        <f t="shared" si="224"/>
        <v/>
      </c>
      <c r="N145" t="str">
        <f>IF($H145&lt;=$C$12,$H145*MIN($C$36,$C$45)+$I133,"")</f>
        <v/>
      </c>
      <c r="O145" t="str">
        <f t="shared" si="225"/>
        <v/>
      </c>
      <c r="P145" t="str">
        <f t="shared" si="226"/>
        <v/>
      </c>
      <c r="Q145" t="str">
        <f t="shared" si="227"/>
        <v/>
      </c>
      <c r="R145" t="str">
        <f t="shared" si="228"/>
        <v/>
      </c>
      <c r="S145" t="str">
        <f>IF($H145&lt;=$C$12,$H145*MIN($C$36,$C$46)+$I133,"")</f>
        <v/>
      </c>
      <c r="T145" t="str">
        <f t="shared" si="229"/>
        <v/>
      </c>
      <c r="U145" t="str">
        <f t="shared" si="230"/>
        <v/>
      </c>
      <c r="V145" t="str">
        <f t="shared" si="231"/>
        <v/>
      </c>
      <c r="W145" t="str">
        <f t="shared" si="232"/>
        <v/>
      </c>
      <c r="X145" t="str">
        <f>IF($H145&lt;=$C$12,$H145*MIN($C$36,$C$47)+$I133,"")</f>
        <v/>
      </c>
      <c r="Y145" t="str">
        <f t="shared" si="233"/>
        <v/>
      </c>
      <c r="Z145" t="str">
        <f t="shared" si="234"/>
        <v/>
      </c>
      <c r="AA145" t="str">
        <f t="shared" si="235"/>
        <v/>
      </c>
      <c r="AB145" t="str">
        <f t="shared" si="236"/>
        <v/>
      </c>
      <c r="AC145" t="str">
        <f>IF($H145&lt;=$C$12,$H145*MIN($C$36,$C$44)+$I133,"")</f>
        <v/>
      </c>
      <c r="AD145" t="str">
        <f t="shared" si="237"/>
        <v/>
      </c>
      <c r="AE145" t="str">
        <f t="shared" si="238"/>
        <v/>
      </c>
      <c r="AF145" t="str">
        <f t="shared" si="239"/>
        <v/>
      </c>
      <c r="AG145" t="str">
        <f t="shared" si="240"/>
        <v/>
      </c>
      <c r="AH145" t="str">
        <f>IF($H145&lt;=$C$12,$H145*MIN($C$36,$C$45)+$I133,"")</f>
        <v/>
      </c>
      <c r="AI145" t="str">
        <f t="shared" si="241"/>
        <v/>
      </c>
      <c r="AJ145" t="str">
        <f t="shared" si="242"/>
        <v/>
      </c>
      <c r="AK145" t="str">
        <f t="shared" si="243"/>
        <v/>
      </c>
      <c r="AL145" t="str">
        <f t="shared" si="244"/>
        <v/>
      </c>
      <c r="AM145" t="str">
        <f>IF($H145&lt;=$C$12,$H145*MIN($C$36,$C$46)+$I133,"")</f>
        <v/>
      </c>
      <c r="AN145" t="str">
        <f t="shared" si="245"/>
        <v/>
      </c>
      <c r="AO145" t="str">
        <f t="shared" si="246"/>
        <v/>
      </c>
      <c r="AP145" t="str">
        <f t="shared" si="247"/>
        <v/>
      </c>
      <c r="AQ145" t="str">
        <f t="shared" si="248"/>
        <v/>
      </c>
      <c r="AR145" t="str">
        <f>IF($H145&lt;=$C$12,$H145*MIN($C$36,$C$47)+$I133,"")</f>
        <v/>
      </c>
      <c r="AS145" t="str">
        <f t="shared" si="249"/>
        <v/>
      </c>
      <c r="AT145" t="str">
        <f t="shared" si="250"/>
        <v/>
      </c>
      <c r="AU145" t="str">
        <f t="shared" si="251"/>
        <v/>
      </c>
      <c r="AV145" t="str">
        <f t="shared" si="252"/>
        <v/>
      </c>
    </row>
    <row r="146" spans="1:48" x14ac:dyDescent="0.25">
      <c r="H146">
        <v>10</v>
      </c>
      <c r="I146" t="str">
        <f>IF($H146&lt;=$C$12,$H146*MIN($C$36,$C$44)+$I133,"")</f>
        <v/>
      </c>
      <c r="J146" t="str">
        <f t="shared" si="221"/>
        <v/>
      </c>
      <c r="K146" t="str">
        <f t="shared" si="222"/>
        <v/>
      </c>
      <c r="L146" t="str">
        <f t="shared" si="223"/>
        <v/>
      </c>
      <c r="M146" t="str">
        <f t="shared" si="224"/>
        <v/>
      </c>
      <c r="N146" t="str">
        <f>IF($H146&lt;=$C$12,$H146*MIN($C$36,$C$45)+$I133,"")</f>
        <v/>
      </c>
      <c r="O146" t="str">
        <f t="shared" si="225"/>
        <v/>
      </c>
      <c r="P146" t="str">
        <f t="shared" si="226"/>
        <v/>
      </c>
      <c r="Q146" t="str">
        <f t="shared" si="227"/>
        <v/>
      </c>
      <c r="R146" t="str">
        <f t="shared" si="228"/>
        <v/>
      </c>
      <c r="S146" t="str">
        <f>IF($H146&lt;=$C$12,$H146*MIN($C$36,$C$46)+$I133,"")</f>
        <v/>
      </c>
      <c r="T146" t="str">
        <f t="shared" si="229"/>
        <v/>
      </c>
      <c r="U146" t="str">
        <f t="shared" si="230"/>
        <v/>
      </c>
      <c r="V146" t="str">
        <f t="shared" si="231"/>
        <v/>
      </c>
      <c r="W146" t="str">
        <f t="shared" si="232"/>
        <v/>
      </c>
      <c r="X146" t="str">
        <f>IF($H146&lt;=$C$12,$H146*MIN($C$36,$C$47)+$I133,"")</f>
        <v/>
      </c>
      <c r="Y146" t="str">
        <f t="shared" si="233"/>
        <v/>
      </c>
      <c r="Z146" t="str">
        <f t="shared" si="234"/>
        <v/>
      </c>
      <c r="AA146" t="str">
        <f t="shared" si="235"/>
        <v/>
      </c>
      <c r="AB146" t="str">
        <f t="shared" si="236"/>
        <v/>
      </c>
      <c r="AC146" t="str">
        <f>IF($H146&lt;=$C$12,$H146*MIN($C$36,$C$44)+$I133,"")</f>
        <v/>
      </c>
      <c r="AD146" t="str">
        <f t="shared" si="237"/>
        <v/>
      </c>
      <c r="AE146" t="str">
        <f t="shared" si="238"/>
        <v/>
      </c>
      <c r="AF146" t="str">
        <f t="shared" si="239"/>
        <v/>
      </c>
      <c r="AG146" t="str">
        <f t="shared" si="240"/>
        <v/>
      </c>
      <c r="AH146" t="str">
        <f>IF($H146&lt;=$C$12,$H146*MIN($C$36,$C$45)+$I133,"")</f>
        <v/>
      </c>
      <c r="AI146" t="str">
        <f t="shared" si="241"/>
        <v/>
      </c>
      <c r="AJ146" t="str">
        <f t="shared" si="242"/>
        <v/>
      </c>
      <c r="AK146" t="str">
        <f t="shared" si="243"/>
        <v/>
      </c>
      <c r="AL146" t="str">
        <f t="shared" si="244"/>
        <v/>
      </c>
      <c r="AM146" t="str">
        <f>IF($H146&lt;=$C$12,$H146*MIN($C$36,$C$46)+$I133,"")</f>
        <v/>
      </c>
      <c r="AN146" t="str">
        <f t="shared" si="245"/>
        <v/>
      </c>
      <c r="AO146" t="str">
        <f t="shared" si="246"/>
        <v/>
      </c>
      <c r="AP146" t="str">
        <f t="shared" si="247"/>
        <v/>
      </c>
      <c r="AQ146" t="str">
        <f t="shared" si="248"/>
        <v/>
      </c>
      <c r="AR146" t="str">
        <f>IF($H146&lt;=$C$12,$H146*MIN($C$36,$C$47)+$I133,"")</f>
        <v/>
      </c>
      <c r="AS146" t="str">
        <f t="shared" si="249"/>
        <v/>
      </c>
      <c r="AT146" t="str">
        <f t="shared" si="250"/>
        <v/>
      </c>
      <c r="AU146" t="str">
        <f t="shared" si="251"/>
        <v/>
      </c>
      <c r="AV146" t="str">
        <f t="shared" si="252"/>
        <v/>
      </c>
    </row>
    <row r="148" spans="1:48" x14ac:dyDescent="0.25">
      <c r="A148" s="14" t="s">
        <v>122</v>
      </c>
      <c r="B148" s="14"/>
      <c r="C148">
        <v>30</v>
      </c>
      <c r="D148" t="s">
        <v>9</v>
      </c>
      <c r="I148" s="15" t="s">
        <v>118</v>
      </c>
    </row>
    <row r="149" spans="1:48" x14ac:dyDescent="0.25">
      <c r="A149" t="s">
        <v>124</v>
      </c>
      <c r="B149"/>
      <c r="C149">
        <v>5</v>
      </c>
      <c r="D149" t="s">
        <v>2</v>
      </c>
      <c r="I149" s="41">
        <f>C156</f>
        <v>1.9056752989640664E-4</v>
      </c>
      <c r="U149" s="9" t="s">
        <v>109</v>
      </c>
      <c r="AB149" s="11" t="s">
        <v>119</v>
      </c>
      <c r="AC149" t="s">
        <v>120</v>
      </c>
      <c r="AO149" s="9" t="s">
        <v>109</v>
      </c>
    </row>
    <row r="150" spans="1:48" x14ac:dyDescent="0.25">
      <c r="A150" t="s">
        <v>125</v>
      </c>
      <c r="B150"/>
      <c r="C150">
        <v>30</v>
      </c>
      <c r="D150" t="s">
        <v>2</v>
      </c>
      <c r="H150" s="11"/>
      <c r="I150" s="44" t="str">
        <f>CONCATENATE("2 Segment (",$C148,"N Load)")</f>
        <v>2 Segment (30N Load)</v>
      </c>
      <c r="J150" s="45"/>
      <c r="K150" s="45"/>
      <c r="L150" s="45"/>
      <c r="M150" s="46"/>
      <c r="N150" s="44" t="s">
        <v>73</v>
      </c>
      <c r="O150" s="45"/>
      <c r="P150" s="45"/>
      <c r="Q150" s="45"/>
      <c r="R150" s="46"/>
      <c r="S150" s="44" t="str">
        <f>CONCATENATE("3 Segment (",$C148,"N Load)")</f>
        <v>3 Segment (30N Load)</v>
      </c>
      <c r="T150" s="45"/>
      <c r="U150" s="45"/>
      <c r="V150" s="45"/>
      <c r="W150" s="46"/>
      <c r="X150" s="44" t="s">
        <v>75</v>
      </c>
      <c r="Y150" s="45"/>
      <c r="Z150" s="45"/>
      <c r="AA150" s="45"/>
      <c r="AB150" s="46"/>
      <c r="AC150" s="44" t="str">
        <f>CONCATENATE("2 Segment (",$C148,"N Load)")</f>
        <v>2 Segment (30N Load)</v>
      </c>
      <c r="AD150" s="45"/>
      <c r="AE150" s="45"/>
      <c r="AF150" s="45"/>
      <c r="AG150" s="46"/>
      <c r="AH150" s="44" t="s">
        <v>73</v>
      </c>
      <c r="AI150" s="45"/>
      <c r="AJ150" s="45"/>
      <c r="AK150" s="45"/>
      <c r="AL150" s="46"/>
      <c r="AM150" s="44" t="str">
        <f>CONCATENATE("3 Segment (",$C148,"N Load)")</f>
        <v>3 Segment (30N Load)</v>
      </c>
      <c r="AN150" s="45"/>
      <c r="AO150" s="45"/>
      <c r="AP150" s="45"/>
      <c r="AQ150" s="46"/>
      <c r="AR150" s="44" t="s">
        <v>75</v>
      </c>
      <c r="AS150" s="45"/>
      <c r="AT150" s="45"/>
      <c r="AU150" s="45"/>
      <c r="AV150" s="46"/>
    </row>
    <row r="151" spans="1:48" x14ac:dyDescent="0.25">
      <c r="A151" t="s">
        <v>126</v>
      </c>
      <c r="B151"/>
      <c r="C151">
        <v>4.76</v>
      </c>
      <c r="D151" t="s">
        <v>2</v>
      </c>
      <c r="H151" s="13" t="s">
        <v>40</v>
      </c>
      <c r="I151" s="22" t="s">
        <v>68</v>
      </c>
      <c r="J151" s="23" t="s">
        <v>69</v>
      </c>
      <c r="K151" s="23" t="s">
        <v>70</v>
      </c>
      <c r="L151" s="24" t="s">
        <v>71</v>
      </c>
      <c r="M151" s="24" t="s">
        <v>72</v>
      </c>
      <c r="N151" s="22" t="s">
        <v>68</v>
      </c>
      <c r="O151" s="23" t="s">
        <v>69</v>
      </c>
      <c r="P151" s="23" t="s">
        <v>70</v>
      </c>
      <c r="Q151" s="24" t="s">
        <v>71</v>
      </c>
      <c r="R151" s="24" t="s">
        <v>72</v>
      </c>
      <c r="S151" s="22" t="s">
        <v>68</v>
      </c>
      <c r="T151" s="23" t="s">
        <v>69</v>
      </c>
      <c r="U151" s="23" t="s">
        <v>70</v>
      </c>
      <c r="V151" s="24" t="s">
        <v>71</v>
      </c>
      <c r="W151" s="24" t="s">
        <v>72</v>
      </c>
      <c r="X151" s="22" t="s">
        <v>68</v>
      </c>
      <c r="Y151" s="23" t="s">
        <v>69</v>
      </c>
      <c r="Z151" s="23" t="s">
        <v>70</v>
      </c>
      <c r="AA151" s="24" t="s">
        <v>71</v>
      </c>
      <c r="AB151" s="24" t="s">
        <v>72</v>
      </c>
      <c r="AC151" s="22" t="s">
        <v>68</v>
      </c>
      <c r="AD151" s="23" t="s">
        <v>69</v>
      </c>
      <c r="AE151" s="23" t="s">
        <v>70</v>
      </c>
      <c r="AF151" s="24" t="s">
        <v>71</v>
      </c>
      <c r="AG151" s="24" t="s">
        <v>72</v>
      </c>
      <c r="AH151" s="22" t="s">
        <v>68</v>
      </c>
      <c r="AI151" s="23" t="s">
        <v>69</v>
      </c>
      <c r="AJ151" s="23" t="s">
        <v>70</v>
      </c>
      <c r="AK151" s="24" t="s">
        <v>71</v>
      </c>
      <c r="AL151" s="24" t="s">
        <v>72</v>
      </c>
      <c r="AM151" s="22" t="s">
        <v>68</v>
      </c>
      <c r="AN151" s="23" t="s">
        <v>69</v>
      </c>
      <c r="AO151" s="23" t="s">
        <v>70</v>
      </c>
      <c r="AP151" s="24" t="s">
        <v>71</v>
      </c>
      <c r="AQ151" s="24" t="s">
        <v>72</v>
      </c>
      <c r="AR151" s="22" t="s">
        <v>68</v>
      </c>
      <c r="AS151" s="23" t="s">
        <v>69</v>
      </c>
      <c r="AT151" s="23" t="s">
        <v>70</v>
      </c>
      <c r="AU151" s="24" t="s">
        <v>71</v>
      </c>
      <c r="AV151" s="24" t="s">
        <v>72</v>
      </c>
    </row>
    <row r="152" spans="1:48" x14ac:dyDescent="0.25">
      <c r="A152" t="s">
        <v>129</v>
      </c>
      <c r="B152"/>
      <c r="C152">
        <v>68900</v>
      </c>
      <c r="D152" t="s">
        <v>117</v>
      </c>
      <c r="H152">
        <v>0</v>
      </c>
      <c r="I152">
        <f>IF($H152&lt;=$C$12,$H152*MIN($C$36,$C$44)+$I149,"")</f>
        <v>1.9056752989640664E-4</v>
      </c>
      <c r="J152">
        <f>IF($H152&lt;=$C$12,0,"")</f>
        <v>0</v>
      </c>
      <c r="K152">
        <f>IF($H152&lt;=$C$12,0,"")</f>
        <v>0</v>
      </c>
      <c r="L152">
        <f>IF($H152&lt;=$C$12,0,"")</f>
        <v>0</v>
      </c>
      <c r="M152">
        <f>IF($H152&lt;=$C$12,0,"")</f>
        <v>0</v>
      </c>
      <c r="N152">
        <f>IF($H152&lt;=$C$12,$H152*MIN($C$36,$C$45)+$I149,"")</f>
        <v>1.9056752989640664E-4</v>
      </c>
      <c r="O152">
        <f>IF($H152&lt;=$C$12,0,"")</f>
        <v>0</v>
      </c>
      <c r="P152">
        <f>IF($H152&lt;=$C$12,0,"")</f>
        <v>0</v>
      </c>
      <c r="Q152">
        <f>IF($H152&lt;=$C$12,0,"")</f>
        <v>0</v>
      </c>
      <c r="R152">
        <f>IF($H152&lt;=$C$12,0,"")</f>
        <v>0</v>
      </c>
      <c r="S152">
        <f>IF($H152&lt;=$C$12,$H152*MIN($C$36,$C$46)+$I149,"")</f>
        <v>1.9056752989640664E-4</v>
      </c>
      <c r="T152">
        <f>IF($H152&lt;=$C$12,0,"")</f>
        <v>0</v>
      </c>
      <c r="U152">
        <f>IF($H152&lt;=$C$12,0,"")</f>
        <v>0</v>
      </c>
      <c r="V152">
        <f>IF($H152&lt;=$C$12,0,"")</f>
        <v>0</v>
      </c>
      <c r="W152">
        <f>IF($H152&lt;=$C$12,0,"")</f>
        <v>0</v>
      </c>
      <c r="X152">
        <f>IF($H152&lt;=$C$12,$H152*MIN($C$36,$C$47)+$I149,"")</f>
        <v>1.9056752989640664E-4</v>
      </c>
      <c r="Y152">
        <f>IF($H152&lt;=$C$12,0,"")</f>
        <v>0</v>
      </c>
      <c r="Z152">
        <f>IF($H152&lt;=$C$12,0,"")</f>
        <v>0</v>
      </c>
      <c r="AA152">
        <f>IF($H152&lt;=$C$12,0,"")</f>
        <v>0</v>
      </c>
      <c r="AB152">
        <f>IF($H152&lt;=$C$12,0,"")</f>
        <v>0</v>
      </c>
      <c r="AC152">
        <f>IF($H152&lt;=$C$12,$H152*MIN($C$36,$C$44)+$I149,"")</f>
        <v>1.9056752989640664E-4</v>
      </c>
      <c r="AD152">
        <f>IF($H152&lt;=$C$12,0,"")</f>
        <v>0</v>
      </c>
      <c r="AE152">
        <f>IF($H152&lt;=$C$12,0,"")</f>
        <v>0</v>
      </c>
      <c r="AF152">
        <f>IF($H152&lt;=$C$12,0,"")</f>
        <v>0</v>
      </c>
      <c r="AG152">
        <f>IF($H152&lt;=$C$12,0,"")</f>
        <v>0</v>
      </c>
      <c r="AH152">
        <f>IF($H152&lt;=$C$12,$H152*MIN($C$36,$C$45)+$I149,"")</f>
        <v>1.9056752989640664E-4</v>
      </c>
      <c r="AI152">
        <f>IF($H152&lt;=$C$12,0,"")</f>
        <v>0</v>
      </c>
      <c r="AJ152">
        <f>IF($H152&lt;=$C$12,0,"")</f>
        <v>0</v>
      </c>
      <c r="AK152">
        <f>IF($H152&lt;=$C$12,0,"")</f>
        <v>0</v>
      </c>
      <c r="AL152">
        <f>IF($H152&lt;=$C$12,0,"")</f>
        <v>0</v>
      </c>
      <c r="AM152">
        <f>IF($H152&lt;=$C$12,$H152*MIN($C$36,$C$46)+$I149,"")</f>
        <v>1.9056752989640664E-4</v>
      </c>
      <c r="AN152">
        <f>IF($H152&lt;=$C$12,0,"")</f>
        <v>0</v>
      </c>
      <c r="AO152">
        <f>IF($H152&lt;=$C$12,0,"")</f>
        <v>0</v>
      </c>
      <c r="AP152">
        <f>IF($H152&lt;=$C$12,0,"")</f>
        <v>0</v>
      </c>
      <c r="AQ152">
        <f>IF($H152&lt;=$C$12,0,"")</f>
        <v>0</v>
      </c>
      <c r="AR152">
        <f>IF($H152&lt;=$C$12,$H152*MIN($C$36,$C$47)+$I149,"")</f>
        <v>1.9056752989640664E-4</v>
      </c>
      <c r="AS152">
        <f>IF($H152&lt;=$C$12,0,"")</f>
        <v>0</v>
      </c>
      <c r="AT152">
        <f>IF($H152&lt;=$C$12,0,"")</f>
        <v>0</v>
      </c>
      <c r="AU152">
        <f>IF($H152&lt;=$C$12,0,"")</f>
        <v>0</v>
      </c>
      <c r="AV152">
        <f>IF($H152&lt;=$C$12,0,"")</f>
        <v>0</v>
      </c>
    </row>
    <row r="153" spans="1:48" x14ac:dyDescent="0.25">
      <c r="A153" t="s">
        <v>130</v>
      </c>
      <c r="B153"/>
      <c r="C153" s="2">
        <f>C149*C151^3/12</f>
        <v>44.937573333333326</v>
      </c>
      <c r="D153" s="2" t="s">
        <v>80</v>
      </c>
      <c r="H153">
        <v>1</v>
      </c>
      <c r="I153">
        <f>IF($H153&lt;=$C$12,$H153*MIN($C$36,$C$44)+$I149,"")</f>
        <v>7.239008885136938E-4</v>
      </c>
      <c r="J153">
        <f>IF($H153&lt;=$C$12,$C$4*COS($C$10)*COS(MIN($C$36,$C$44)+$I149)+K152*SIN(MIN($C$36,$C$44)+$I149),"")</f>
        <v>2.2175961781739923</v>
      </c>
      <c r="K153">
        <f>IF($H153&lt;=$C$12,-$C$4*COS($C$10)*SIN(MIN($C$36,$C$44)+$I149)+K152*COS(MIN($C$36,$C$44)+$I149),"")</f>
        <v>-1.6053201241580384E-3</v>
      </c>
      <c r="L153">
        <f>IF($H153&lt;=$C$12,L152+J153,"")</f>
        <v>2.2175961781739923</v>
      </c>
      <c r="M153">
        <f>IF($H153&lt;=$C$12,M152+K153,"")</f>
        <v>-1.6053201241580384E-3</v>
      </c>
      <c r="N153">
        <f>IF($H153&lt;=$C$12,$H153*MIN($C$36,$C$45)+$I149,"")</f>
        <v>4.1913896045811712E-4</v>
      </c>
      <c r="O153">
        <f>IF($H153&lt;=$C$12,$C$4*COS($C$10)*COS(MIN($C$36,$C$44)+$I149)+P152*SIN(MIN($C$36,$C$44)+$I149),"")</f>
        <v>2.2175961781739923</v>
      </c>
      <c r="P153">
        <f>IF($H153&lt;=$C$12,-$C$4*COS($C$10)*SIN(MIN($C$36,$C$44)+$I149)+P152*COS(MIN($C$36,$C$44)+$I149),"")</f>
        <v>-1.6053201241580384E-3</v>
      </c>
      <c r="Q153">
        <f>IF($H153&lt;=$C$12,Q152+O153,"")</f>
        <v>2.2175961781739923</v>
      </c>
      <c r="R153">
        <f>IF($H153&lt;=$C$12,R152+P153,"")</f>
        <v>-1.6053201241580384E-3</v>
      </c>
      <c r="S153">
        <f>IF($H153&lt;=$C$12,$H153*MIN($C$36,$C$46)+$I149,"")</f>
        <v>8.5723424594579922E-4</v>
      </c>
      <c r="T153">
        <f>IF($H153&lt;=$C$12,$C$4*COS($C$10)*COS(MIN($C$36,$C$46)+$I149)+U152*SIN(MIN($C$36,$C$46)+$I149),"")</f>
        <v>2.2175959444192976</v>
      </c>
      <c r="U153">
        <f>IF($H153&lt;=$C$12,-$C$4*COS($C$10)*SIN(MIN($C$36,$C$46)+$I149)+U152*COS(MIN($C$36,$C$46)+$I149),"")</f>
        <v>-1.9009996528769771E-3</v>
      </c>
      <c r="V153">
        <f>IF($H153&lt;=$C$12,V152+T153,"")</f>
        <v>2.2175959444192976</v>
      </c>
      <c r="W153">
        <f>IF($H153&lt;=$C$12,W152+U153,"")</f>
        <v>-1.9009996528769771E-3</v>
      </c>
      <c r="X153">
        <f>IF($H153&lt;=$C$12,$H153*MIN($C$36,$C$47)+$I149,"")</f>
        <v>6.4771040296151996E-4</v>
      </c>
      <c r="Y153">
        <f>IF($H153&lt;=$C$12,$C$4*COS($C$10)*COS(MIN($C$36,$C$47)+$I149)+Z152*SIN(MIN($C$36,$C$47)+$I149),"")</f>
        <v>2.2175962940475498</v>
      </c>
      <c r="Z153">
        <f>IF($H153&lt;=$C$12,-$C$4*COS($C$10)*SIN(MIN($C$36,$C$47)+$I149)+Z152*COS(MIN($C$36,$C$47)+$I149),"")</f>
        <v>-1.4363603900883514E-3</v>
      </c>
      <c r="AA153">
        <f>IF($H153&lt;=$C$12,AA152+Y153,"")</f>
        <v>2.2175962940475498</v>
      </c>
      <c r="AB153">
        <f>IF($H153&lt;=$C$12,AB152+Z153,"")</f>
        <v>-1.4363603900883514E-3</v>
      </c>
      <c r="AC153">
        <f>IF($H153&lt;=$C$12,$H153*MIN($C$36,$C$44)+$I149,"")</f>
        <v>7.239008885136938E-4</v>
      </c>
      <c r="AD153">
        <f>IF($H153&lt;=$C$12,$E$4*COS($C$10)*COS(MIN($C$36,$C$44)+$I149)+AE152*SIN(MIN($C$36,$C$44)+$I149),"")</f>
        <v>56.326942925619399</v>
      </c>
      <c r="AE153">
        <f>IF($H153&lt;=$C$12,-$E$4*COS($C$10)*SIN(MIN($C$36,$C$44)+$I149)+AE152*COS(MIN($C$36,$C$44)+$I149),"")</f>
        <v>-4.0775131153614169E-2</v>
      </c>
      <c r="AF153">
        <f>IF($H153&lt;=$C$12,AF152+AD153,"")</f>
        <v>56.326942925619399</v>
      </c>
      <c r="AG153">
        <f>IF($H153&lt;=$C$12,AG152+AE153,"")</f>
        <v>-4.0775131153614169E-2</v>
      </c>
      <c r="AH153">
        <f>IF($H153&lt;=$C$12,$H153*MIN($C$36,$C$45)+$I149,"")</f>
        <v>4.1913896045811712E-4</v>
      </c>
      <c r="AI153">
        <f>IF($H153&lt;=$C$12,$E$4*COS($C$10)*COS(MIN($C$36,$C$45)+$I149)+AJ152*SIN(MIN($C$36,$C$45)+$I149),"")</f>
        <v>56.326952736508289</v>
      </c>
      <c r="AJ153">
        <f>IF($H153&lt;=$C$12,-$E$4*COS($C$10)*SIN(MIN($C$36,$C$45)+$I149)+AJ152*COS(MIN($C$36,$C$45)+$I149),"")</f>
        <v>-2.3608821798266278E-2</v>
      </c>
      <c r="AK153">
        <f>IF($H153&lt;=$C$12,AK152+AI153,"")</f>
        <v>56.326952736508289</v>
      </c>
      <c r="AL153">
        <f>IF($H153&lt;=$C$12,AL152+AJ153,"")</f>
        <v>-2.3608821798266278E-2</v>
      </c>
      <c r="AM153">
        <f>IF($H153&lt;=$C$12,$H153*MIN($C$36,$C$46)+$I149,"")</f>
        <v>8.5723424594579922E-4</v>
      </c>
      <c r="AN153">
        <f>IF($H153&lt;=$C$12,$E$4*COS($C$10)*COS(MIN($C$36,$C$46)+$I149)+AO152*SIN(MIN($C$36,$C$46)+$I149),"")</f>
        <v>56.326936988250161</v>
      </c>
      <c r="AO153">
        <f>IF($H153&lt;=$C$12,-$E$4*COS($C$10)*SIN(MIN($C$36,$C$46)+$I149)+AO152*COS(MIN($C$36,$C$46)+$I149),"")</f>
        <v>-4.8285391183075219E-2</v>
      </c>
      <c r="AP153">
        <f>IF($H153&lt;=$C$12,AP152+AN153,"")</f>
        <v>56.326936988250161</v>
      </c>
      <c r="AQ153">
        <f>IF($H153&lt;=$C$12,AQ152+AO153,"")</f>
        <v>-4.8285391183075219E-2</v>
      </c>
      <c r="AR153">
        <f>IF($H153&lt;=$C$12,$H153*MIN($C$36,$C$47)+$I149,"")</f>
        <v>6.4771040296151996E-4</v>
      </c>
      <c r="AS153">
        <f>IF($H153&lt;=$C$12,$E$4*COS($C$10)*COS(MIN($C$36,$C$47)+$I149)+AT152*SIN(MIN($C$36,$C$47)+$I149),"")</f>
        <v>56.326945868807762</v>
      </c>
      <c r="AT153">
        <f>IF($H153&lt;=$C$12,-$E$4*COS($C$10)*SIN(MIN($C$36,$C$47)+$I149)+AT152*COS(MIN($C$36,$C$47)+$I149),"")</f>
        <v>-3.6483553908244128E-2</v>
      </c>
      <c r="AU153">
        <f>IF($H153&lt;=$C$12,AU152+AS153,"")</f>
        <v>56.326945868807762</v>
      </c>
      <c r="AV153">
        <f>IF($H153&lt;=$C$12,AV152+AT153,"")</f>
        <v>-3.6483553908244128E-2</v>
      </c>
    </row>
    <row r="154" spans="1:48" x14ac:dyDescent="0.25">
      <c r="A154" t="s">
        <v>127</v>
      </c>
      <c r="B154"/>
      <c r="C154" s="2">
        <f>C148*C150^3/(48*C152*C153)</f>
        <v>5.4502314210140681E-3</v>
      </c>
      <c r="D154" s="2" t="s">
        <v>2</v>
      </c>
      <c r="H154">
        <v>2</v>
      </c>
      <c r="I154">
        <f>IF($H154&lt;=$C$12,$H154*MIN($C$36,$C$44)+$I149,"")</f>
        <v>1.2572342471309811E-3</v>
      </c>
      <c r="J154">
        <f t="shared" ref="J154:J162" si="253">IF($H154&lt;=$C$12,$C$4*COS($C$10)*COS(MIN($C$36,$C$44))+K153*SIN(MIN($C$36,$C$44)),"")</f>
        <v>2.2175955876580553</v>
      </c>
      <c r="K154">
        <f t="shared" ref="K154:K162" si="254">IF($H154&lt;=$C$12,-$C$4*COS($C$10)*SIN(MIN($C$36,$C$44))+K153*COS(MIN($C$36,$C$44)),"")</f>
        <v>-2.7880381674300131E-3</v>
      </c>
      <c r="L154">
        <f t="shared" ref="L154:L162" si="255">IF($H154&lt;=$C$12,L153+J154,"")</f>
        <v>4.4351917658320481</v>
      </c>
      <c r="M154">
        <f t="shared" ref="M154:M162" si="256">IF($H154&lt;=$C$12,M153+K154,"")</f>
        <v>-4.3933582915880514E-3</v>
      </c>
      <c r="N154">
        <f>IF($H154&lt;=$C$12,$H154*MIN($C$36,$C$45)+$I149,"")</f>
        <v>6.4771039101982754E-4</v>
      </c>
      <c r="O154">
        <f t="shared" ref="O154:O162" si="257">IF($H154&lt;=$C$12,$C$4*COS($C$10)*COS(MIN($C$36,$C$45))+P153*SIN(MIN($C$36,$C$45)),"")</f>
        <v>2.2175963343609766</v>
      </c>
      <c r="P154">
        <f t="shared" ref="P154:P162" si="258">IF($H154&lt;=$C$12,-$C$4*COS($C$10)*SIN(MIN($C$36,$C$45))+P153*COS(MIN($C$36,$C$45)),"")</f>
        <v>-2.1121993414735104E-3</v>
      </c>
      <c r="Q154">
        <f t="shared" ref="Q154:Q162" si="259">IF($H154&lt;=$C$12,Q153+O154,"")</f>
        <v>4.4351925125349689</v>
      </c>
      <c r="R154">
        <f t="shared" ref="R154:R162" si="260">IF($H154&lt;=$C$12,R153+P154,"")</f>
        <v>-3.7175194656315488E-3</v>
      </c>
      <c r="S154">
        <f>IF($H154&lt;=$C$12,$H154*MIN($C$36,$C$46)+$I149,"")</f>
        <v>1.523900961995192E-3</v>
      </c>
      <c r="T154">
        <f t="shared" ref="T154:T162" si="261">IF($H154&lt;=$C$12,$C$4*COS($C$10)*COS(MIN($C$36,$C$46))+U153*SIN(MIN($C$36,$C$46)),"")</f>
        <v>2.2175949990879129</v>
      </c>
      <c r="U154">
        <f t="shared" ref="U154:U162" si="262">IF($H154&lt;=$C$12,-$C$4*COS($C$10)*SIN(MIN($C$36,$C$46))+U153*COS(MIN($C$36,$C$46)),"")</f>
        <v>-3.3793970699127962E-3</v>
      </c>
      <c r="V154">
        <f t="shared" ref="V154:V162" si="263">IF($H154&lt;=$C$12,V153+T154,"")</f>
        <v>4.4351909435072105</v>
      </c>
      <c r="W154">
        <f t="shared" ref="W154:W162" si="264">IF($H154&lt;=$C$12,W153+U154,"")</f>
        <v>-5.280396722789773E-3</v>
      </c>
      <c r="X154">
        <f>IF($H154&lt;=$C$12,$H154*MIN($C$36,$C$47)+$I149,"")</f>
        <v>1.1048532760266332E-3</v>
      </c>
      <c r="Y154">
        <f t="shared" ref="Y154:Y162" si="265">IF($H154&lt;=$C$12,$C$4*COS($C$10)*COS(MIN($C$36,$C$47))+Z153*SIN(MIN($C$36,$C$47)),"")</f>
        <v>2.2175958708822123</v>
      </c>
      <c r="Z154">
        <f t="shared" ref="Z154:Z162" si="266">IF($H154&lt;=$C$12,-$C$4*COS($C$10)*SIN(MIN($C$36,$C$47))+Z153*COS(MIN($C$36,$C$47)),"")</f>
        <v>-2.4501187585040706E-3</v>
      </c>
      <c r="AA154">
        <f t="shared" ref="AA154:AA162" si="267">IF($H154&lt;=$C$12,AA153+Y154,"")</f>
        <v>4.4351921649297621</v>
      </c>
      <c r="AB154">
        <f t="shared" ref="AB154:AB162" si="268">IF($H154&lt;=$C$12,AB153+Z154,"")</f>
        <v>-3.8864791485924222E-3</v>
      </c>
      <c r="AC154">
        <f>IF($H154&lt;=$C$12,$H154*MIN($C$36,$C$44)+$I149,"")</f>
        <v>1.2572342471309811E-3</v>
      </c>
      <c r="AD154">
        <f t="shared" ref="AD154:AD162" si="269">IF($H154&lt;=$C$12,$E$4*COS($C$10)*COS(MIN($C$36,$C$44))+AE153*SIN(MIN($C$36,$C$44)),"")</f>
        <v>56.3269279265146</v>
      </c>
      <c r="AE154">
        <f t="shared" ref="AE154:AE162" si="270">IF($H154&lt;=$C$12,-$E$4*COS($C$10)*SIN(MIN($C$36,$C$44))+AE153*COS(MIN($C$36,$C$44)),"")</f>
        <v>-7.081616945272233E-2</v>
      </c>
      <c r="AF154">
        <f t="shared" ref="AF154:AF162" si="271">IF($H154&lt;=$C$12,AF153+AD154,"")</f>
        <v>112.65387085213399</v>
      </c>
      <c r="AG154">
        <f t="shared" ref="AG154:AG162" si="272">IF($H154&lt;=$C$12,AG153+AE154,"")</f>
        <v>-0.1115913006063365</v>
      </c>
      <c r="AH154">
        <f>IF($H154&lt;=$C$12,$H154*MIN($C$36,$C$45)+$I149,"")</f>
        <v>6.4771039101982754E-4</v>
      </c>
      <c r="AI154">
        <f t="shared" ref="AI154:AI162" si="273">IF($H154&lt;=$C$12,$E$4*COS($C$10)*COS(MIN($C$36,$C$45))+AJ153*SIN(MIN($C$36,$C$45)),"")</f>
        <v>56.326950816496648</v>
      </c>
      <c r="AJ154">
        <f t="shared" ref="AJ154:AJ162" si="274">IF($H154&lt;=$C$12,-$E$4*COS($C$10)*SIN(MIN($C$36,$C$45))+AJ153*COS(MIN($C$36,$C$45)),"")</f>
        <v>-3.6483554366505314E-2</v>
      </c>
      <c r="AK154">
        <f t="shared" ref="AK154:AK162" si="275">IF($H154&lt;=$C$12,AK153+AI154,"")</f>
        <v>112.65390355300494</v>
      </c>
      <c r="AL154">
        <f t="shared" ref="AL154:AL162" si="276">IF($H154&lt;=$C$12,AL153+AJ154,"")</f>
        <v>-6.0092376164771588E-2</v>
      </c>
      <c r="AM154">
        <f>IF($H154&lt;=$C$12,$H154*MIN($C$36,$C$46)+$I149,"")</f>
        <v>1.523900961995192E-3</v>
      </c>
      <c r="AN154">
        <f t="shared" ref="AN154:AN162" si="277">IF($H154&lt;=$C$12,$E$4*COS($C$10)*COS(MIN($C$36,$C$46))+AO153*SIN(MIN($C$36,$C$46)),"")</f>
        <v>56.326912976832986</v>
      </c>
      <c r="AO154">
        <f t="shared" ref="AO154:AO162" si="278">IF($H154&lt;=$C$12,-$E$4*COS($C$10)*SIN(MIN($C$36,$C$46))+AO153*COS(MIN($C$36,$C$46)),"")</f>
        <v>-8.5836685575785027E-2</v>
      </c>
      <c r="AP154">
        <f t="shared" ref="AP154:AP162" si="279">IF($H154&lt;=$C$12,AP153+AN154,"")</f>
        <v>112.65384996508314</v>
      </c>
      <c r="AQ154">
        <f t="shared" ref="AQ154:AQ162" si="280">IF($H154&lt;=$C$12,AQ153+AO154,"")</f>
        <v>-0.13412207675886023</v>
      </c>
      <c r="AR154">
        <f>IF($H154&lt;=$C$12,$H154*MIN($C$36,$C$47)+$I149,"")</f>
        <v>1.1048532760266332E-3</v>
      </c>
      <c r="AS154">
        <f t="shared" ref="AS154:AS162" si="281">IF($H154&lt;=$C$12,$E$4*COS($C$10)*COS(MIN($C$36,$C$47))+AT153*SIN(MIN($C$36,$C$47)),"")</f>
        <v>56.32693512040818</v>
      </c>
      <c r="AT154">
        <f t="shared" ref="AT154:AT162" si="282">IF($H154&lt;=$C$12,-$E$4*COS($C$10)*SIN(MIN($C$36,$C$47))+AT153*COS(MIN($C$36,$C$47)),"")</f>
        <v>-6.2233016466003398E-2</v>
      </c>
      <c r="AU154">
        <f t="shared" ref="AU154:AU162" si="283">IF($H154&lt;=$C$12,AU153+AS154,"")</f>
        <v>112.65388098921593</v>
      </c>
      <c r="AV154">
        <f t="shared" ref="AV154:AV162" si="284">IF($H154&lt;=$C$12,AV153+AT154,"")</f>
        <v>-9.8716570374247525E-2</v>
      </c>
    </row>
    <row r="155" spans="1:48" x14ac:dyDescent="0.25">
      <c r="A155" t="s">
        <v>128</v>
      </c>
      <c r="B155"/>
      <c r="C155">
        <v>28.6</v>
      </c>
      <c r="D155" t="s">
        <v>2</v>
      </c>
      <c r="H155">
        <v>3</v>
      </c>
      <c r="I155">
        <f>IF($H155&lt;=$C$12,$H155*MIN($C$36,$C$44)+$I149,"")</f>
        <v>1.7905676057482682E-3</v>
      </c>
      <c r="J155">
        <f t="shared" si="253"/>
        <v>2.2175949568750988</v>
      </c>
      <c r="K155">
        <f t="shared" si="254"/>
        <v>-3.9707560424931876E-3</v>
      </c>
      <c r="L155">
        <f t="shared" si="255"/>
        <v>6.6527867227071464</v>
      </c>
      <c r="M155">
        <f t="shared" si="256"/>
        <v>-8.364114334081239E-3</v>
      </c>
      <c r="N155">
        <f>IF($H155&lt;=$C$12,$H155*MIN($C$36,$C$45)+$I149,"")</f>
        <v>8.7628182158153807E-4</v>
      </c>
      <c r="O155">
        <f t="shared" si="257"/>
        <v>2.2175962185028699</v>
      </c>
      <c r="P155">
        <f t="shared" si="258"/>
        <v>-2.6190785455480559E-3</v>
      </c>
      <c r="Q155">
        <f t="shared" si="259"/>
        <v>6.6527887310378393</v>
      </c>
      <c r="R155">
        <f t="shared" si="260"/>
        <v>-6.3365980111796047E-3</v>
      </c>
      <c r="S155">
        <f>IF($H155&lt;=$C$12,$H155*MIN($C$36,$C$46)+$I149,"")</f>
        <v>2.1905676780445845E-3</v>
      </c>
      <c r="T155">
        <f t="shared" si="261"/>
        <v>2.2175940134896348</v>
      </c>
      <c r="U155">
        <f t="shared" si="262"/>
        <v>-4.857794158415819E-3</v>
      </c>
      <c r="V155">
        <f t="shared" si="263"/>
        <v>6.6527849569968449</v>
      </c>
      <c r="W155">
        <f t="shared" si="264"/>
        <v>-1.0138190881205593E-2</v>
      </c>
      <c r="X155">
        <f>IF($H155&lt;=$C$12,$H155*MIN($C$36,$C$47)+$I149,"")</f>
        <v>1.5619961490917467E-3</v>
      </c>
      <c r="Y155">
        <f t="shared" si="265"/>
        <v>2.217595407449815</v>
      </c>
      <c r="Z155">
        <f t="shared" si="266"/>
        <v>-3.4638770209923795E-3</v>
      </c>
      <c r="AA155">
        <f t="shared" si="267"/>
        <v>6.6527875723795766</v>
      </c>
      <c r="AB155">
        <f t="shared" si="268"/>
        <v>-7.3503561695848017E-3</v>
      </c>
      <c r="AC155">
        <f>IF($H155&lt;=$C$12,$H155*MIN($C$36,$C$44)+$I149,"")</f>
        <v>1.7905676057482682E-3</v>
      </c>
      <c r="AD155">
        <f t="shared" si="269"/>
        <v>56.326911904627508</v>
      </c>
      <c r="AE155">
        <f t="shared" si="270"/>
        <v>-0.10085720347932696</v>
      </c>
      <c r="AF155">
        <f t="shared" si="271"/>
        <v>168.9807827567615</v>
      </c>
      <c r="AG155">
        <f t="shared" si="272"/>
        <v>-0.21244850408566346</v>
      </c>
      <c r="AH155">
        <f>IF($H155&lt;=$C$12,$H155*MIN($C$36,$C$45)+$I149,"")</f>
        <v>8.7628182158153807E-4</v>
      </c>
      <c r="AI155">
        <f t="shared" si="273"/>
        <v>56.326947873700632</v>
      </c>
      <c r="AJ155">
        <f t="shared" si="274"/>
        <v>-4.9358286598424797E-2</v>
      </c>
      <c r="AK155">
        <f t="shared" si="275"/>
        <v>168.98085142670556</v>
      </c>
      <c r="AL155">
        <f t="shared" si="276"/>
        <v>-0.10945066276319639</v>
      </c>
      <c r="AM155">
        <f>IF($H155&lt;=$C$12,$H155*MIN($C$36,$C$46)+$I149,"")</f>
        <v>2.1905676780445845E-3</v>
      </c>
      <c r="AN155">
        <f t="shared" si="277"/>
        <v>56.326887942636723</v>
      </c>
      <c r="AO155">
        <f t="shared" si="278"/>
        <v>-0.12338797162376181</v>
      </c>
      <c r="AP155">
        <f t="shared" si="279"/>
        <v>168.98073790771986</v>
      </c>
      <c r="AQ155">
        <f t="shared" si="280"/>
        <v>-0.25751004838262204</v>
      </c>
      <c r="AR155">
        <f>IF($H155&lt;=$C$12,$H155*MIN($C$36,$C$47)+$I149,"")</f>
        <v>1.5619961490917467E-3</v>
      </c>
      <c r="AS155">
        <f t="shared" si="281"/>
        <v>56.326923349225297</v>
      </c>
      <c r="AT155">
        <f t="shared" si="282"/>
        <v>-8.7982476333206439E-2</v>
      </c>
      <c r="AU155">
        <f t="shared" si="283"/>
        <v>168.98080433844123</v>
      </c>
      <c r="AV155">
        <f t="shared" si="284"/>
        <v>-0.18669904670745396</v>
      </c>
    </row>
    <row r="156" spans="1:48" x14ac:dyDescent="0.25">
      <c r="A156" s="14" t="s">
        <v>131</v>
      </c>
      <c r="B156" s="14"/>
      <c r="C156" s="6">
        <f>ATAN(C154/C155)</f>
        <v>1.9056752989640664E-4</v>
      </c>
      <c r="D156" s="6" t="s">
        <v>13</v>
      </c>
      <c r="E156" s="6">
        <f>DEGREES(C156)</f>
        <v>1.0918715175297239E-2</v>
      </c>
      <c r="F156" s="6" t="s">
        <v>12</v>
      </c>
      <c r="H156">
        <v>4</v>
      </c>
      <c r="I156">
        <f>IF($H156&lt;=$C$12,$H156*MIN($C$36,$C$44)+$I149,"")</f>
        <v>2.3239009643655556E-3</v>
      </c>
      <c r="J156">
        <f t="shared" si="253"/>
        <v>2.2175943260922324</v>
      </c>
      <c r="K156">
        <f t="shared" si="254"/>
        <v>-5.1534737493475861E-3</v>
      </c>
      <c r="L156">
        <f t="shared" si="255"/>
        <v>8.8703810487993788</v>
      </c>
      <c r="M156">
        <f t="shared" si="256"/>
        <v>-1.3517588083428825E-2</v>
      </c>
      <c r="N156">
        <f>IF($H156&lt;=$C$12,$H156*MIN($C$36,$C$45)+$I149,"")</f>
        <v>1.1048532521432486E-3</v>
      </c>
      <c r="O156">
        <f t="shared" si="257"/>
        <v>2.2175961026447659</v>
      </c>
      <c r="P156">
        <f t="shared" si="258"/>
        <v>-3.1259577363816748E-3</v>
      </c>
      <c r="Q156">
        <f t="shared" si="259"/>
        <v>8.8703848336826052</v>
      </c>
      <c r="R156">
        <f t="shared" si="260"/>
        <v>-9.4625557475612795E-3</v>
      </c>
      <c r="S156">
        <f>IF($H156&lt;=$C$12,$H156*MIN($C$36,$C$46)+$I149,"")</f>
        <v>2.8572343940939772E-3</v>
      </c>
      <c r="T156">
        <f t="shared" si="261"/>
        <v>2.2175930278915761</v>
      </c>
      <c r="U156">
        <f t="shared" si="262"/>
        <v>-6.3361909183861191E-3</v>
      </c>
      <c r="V156">
        <f t="shared" si="263"/>
        <v>8.870377984888421</v>
      </c>
      <c r="W156">
        <f t="shared" si="264"/>
        <v>-1.6474381799591712E-2</v>
      </c>
      <c r="X156">
        <f>IF($H156&lt;=$C$12,$H156*MIN($C$36,$C$47)+$I149,"")</f>
        <v>2.0191390221568598E-3</v>
      </c>
      <c r="Y156">
        <f t="shared" si="265"/>
        <v>2.2175949440174665</v>
      </c>
      <c r="Z156">
        <f t="shared" si="266"/>
        <v>-4.4776351775532887E-3</v>
      </c>
      <c r="AA156">
        <f t="shared" si="267"/>
        <v>8.8703825163970436</v>
      </c>
      <c r="AB156">
        <f t="shared" si="268"/>
        <v>-1.182799134713809E-2</v>
      </c>
      <c r="AC156">
        <f>IF($H156&lt;=$C$12,$H156*MIN($C$36,$C$44)+$I149,"")</f>
        <v>2.3239009643655556E-3</v>
      </c>
      <c r="AD156">
        <f t="shared" si="269"/>
        <v>56.32689588274269</v>
      </c>
      <c r="AE156">
        <f t="shared" si="270"/>
        <v>-0.13089823323342867</v>
      </c>
      <c r="AF156">
        <f t="shared" si="271"/>
        <v>225.30767863950419</v>
      </c>
      <c r="AG156">
        <f t="shared" si="272"/>
        <v>-0.34334673731909215</v>
      </c>
      <c r="AH156">
        <f>IF($H156&lt;=$C$12,$H156*MIN($C$36,$C$45)+$I149,"")</f>
        <v>1.1048532521432486E-3</v>
      </c>
      <c r="AI156">
        <f t="shared" si="273"/>
        <v>56.326944930904695</v>
      </c>
      <c r="AJ156">
        <f t="shared" si="274"/>
        <v>-6.2233018494024739E-2</v>
      </c>
      <c r="AK156">
        <f t="shared" si="275"/>
        <v>225.30779635761024</v>
      </c>
      <c r="AL156">
        <f t="shared" si="276"/>
        <v>-0.17168368125722111</v>
      </c>
      <c r="AM156">
        <f>IF($H156&lt;=$C$12,$H156*MIN($C$36,$C$46)+$I149,"")</f>
        <v>2.8572343940939772E-3</v>
      </c>
      <c r="AN156">
        <f t="shared" si="277"/>
        <v>56.326862908446024</v>
      </c>
      <c r="AO156">
        <f t="shared" si="278"/>
        <v>-0.16093924932700743</v>
      </c>
      <c r="AP156">
        <f t="shared" si="279"/>
        <v>225.30760081616589</v>
      </c>
      <c r="AQ156">
        <f t="shared" si="280"/>
        <v>-0.41844929770962946</v>
      </c>
      <c r="AR156">
        <f>IF($H156&lt;=$C$12,$H156*MIN($C$36,$C$47)+$I149,"")</f>
        <v>2.0191390221568598E-3</v>
      </c>
      <c r="AS156">
        <f t="shared" si="281"/>
        <v>56.326911578043649</v>
      </c>
      <c r="AT156">
        <f t="shared" si="282"/>
        <v>-0.11373193350985353</v>
      </c>
      <c r="AU156">
        <f t="shared" si="283"/>
        <v>225.30771591648488</v>
      </c>
      <c r="AV156">
        <f t="shared" si="284"/>
        <v>-0.30043098021730752</v>
      </c>
    </row>
    <row r="157" spans="1:48" x14ac:dyDescent="0.25">
      <c r="B157"/>
      <c r="H157">
        <v>5</v>
      </c>
      <c r="I157">
        <f>IF($H157&lt;=$C$12,$H157*MIN($C$36,$C$44)+$I149,"")</f>
        <v>2.8572343229828429E-3</v>
      </c>
      <c r="J157">
        <f t="shared" si="253"/>
        <v>2.2175936953094553</v>
      </c>
      <c r="K157">
        <f t="shared" si="254"/>
        <v>-6.3361912879932323E-3</v>
      </c>
      <c r="L157">
        <f t="shared" si="255"/>
        <v>11.087974744108834</v>
      </c>
      <c r="M157">
        <f t="shared" si="256"/>
        <v>-1.9853779371422058E-2</v>
      </c>
      <c r="N157">
        <f>IF($H157&lt;=$C$12,$H157*MIN($C$36,$C$45)+$I149,"")</f>
        <v>1.3334246827049591E-3</v>
      </c>
      <c r="O157">
        <f t="shared" si="257"/>
        <v>2.2175959867866655</v>
      </c>
      <c r="P157">
        <f t="shared" si="258"/>
        <v>-3.6328369139743679E-3</v>
      </c>
      <c r="Q157">
        <f t="shared" si="259"/>
        <v>11.087980820469271</v>
      </c>
      <c r="R157">
        <f t="shared" si="260"/>
        <v>-1.3095392661535647E-2</v>
      </c>
      <c r="S157">
        <f>IF($H157&lt;=$C$12,$H157*MIN($C$36,$C$46)+$I149,"")</f>
        <v>3.52390111014337E-3</v>
      </c>
      <c r="T157">
        <f t="shared" si="261"/>
        <v>2.2175920422937359</v>
      </c>
      <c r="U157">
        <f t="shared" si="262"/>
        <v>-7.8145873498237702E-3</v>
      </c>
      <c r="V157">
        <f t="shared" si="263"/>
        <v>11.087970027182157</v>
      </c>
      <c r="W157">
        <f t="shared" si="264"/>
        <v>-2.4288969149415481E-2</v>
      </c>
      <c r="X157">
        <f>IF($H157&lt;=$C$12,$H157*MIN($C$36,$C$47)+$I149,"")</f>
        <v>2.4762818952219733E-3</v>
      </c>
      <c r="Y157">
        <f t="shared" si="265"/>
        <v>2.2175944805851664</v>
      </c>
      <c r="Z157">
        <f t="shared" si="266"/>
        <v>-5.4913932281868095E-3</v>
      </c>
      <c r="AA157">
        <f t="shared" si="267"/>
        <v>11.08797699698221</v>
      </c>
      <c r="AB157">
        <f t="shared" si="268"/>
        <v>-1.7319384575324899E-2</v>
      </c>
      <c r="AC157">
        <f>IF($H157&lt;=$C$12,$H157*MIN($C$36,$C$44)+$I149,"")</f>
        <v>2.8572343229828429E-3</v>
      </c>
      <c r="AD157">
        <f t="shared" si="269"/>
        <v>56.326879860860153</v>
      </c>
      <c r="AE157">
        <f t="shared" si="270"/>
        <v>-0.16093925871502807</v>
      </c>
      <c r="AF157">
        <f t="shared" si="271"/>
        <v>281.63455850036434</v>
      </c>
      <c r="AG157">
        <f t="shared" si="272"/>
        <v>-0.50428599603412017</v>
      </c>
      <c r="AH157">
        <f>IF($H157&lt;=$C$12,$H157*MIN($C$36,$C$45)+$I149,"")</f>
        <v>1.3334246827049591E-3</v>
      </c>
      <c r="AI157">
        <f t="shared" si="273"/>
        <v>56.326941988108835</v>
      </c>
      <c r="AJ157">
        <f t="shared" si="274"/>
        <v>-7.5107750053305153E-2</v>
      </c>
      <c r="AK157">
        <f t="shared" si="275"/>
        <v>281.63473834571909</v>
      </c>
      <c r="AL157">
        <f t="shared" si="276"/>
        <v>-0.24679143131052628</v>
      </c>
      <c r="AM157">
        <f>IF($H157&lt;=$C$12,$H157*MIN($C$36,$C$46)+$I149,"")</f>
        <v>3.52390111014337E-3</v>
      </c>
      <c r="AN157">
        <f t="shared" si="277"/>
        <v>56.326837874260889</v>
      </c>
      <c r="AO157">
        <f t="shared" si="278"/>
        <v>-0.19849051868552373</v>
      </c>
      <c r="AP157">
        <f t="shared" si="279"/>
        <v>281.6344386904268</v>
      </c>
      <c r="AQ157">
        <f t="shared" si="280"/>
        <v>-0.61693981639515316</v>
      </c>
      <c r="AR157">
        <f>IF($H157&lt;=$C$12,$H157*MIN($C$36,$C$47)+$I149,"")</f>
        <v>2.4762818952219733E-3</v>
      </c>
      <c r="AS157">
        <f t="shared" si="281"/>
        <v>56.326899806863224</v>
      </c>
      <c r="AT157">
        <f t="shared" si="282"/>
        <v>-0.13948138799594495</v>
      </c>
      <c r="AU157">
        <f t="shared" si="283"/>
        <v>281.63461572334813</v>
      </c>
      <c r="AV157">
        <f t="shared" si="284"/>
        <v>-0.43991236821325247</v>
      </c>
    </row>
    <row r="158" spans="1:48" x14ac:dyDescent="0.25">
      <c r="B158"/>
      <c r="H158">
        <v>6</v>
      </c>
      <c r="I158">
        <f>IF($H158&lt;=$C$12,$H158*MIN($C$36,$C$44)+$I149,"")</f>
        <v>3.3905676816001298E-3</v>
      </c>
      <c r="J158">
        <f t="shared" si="253"/>
        <v>2.2175930645267679</v>
      </c>
      <c r="K158">
        <f t="shared" si="254"/>
        <v>-7.5189086584301493E-3</v>
      </c>
      <c r="L158">
        <f t="shared" si="255"/>
        <v>13.305567808635601</v>
      </c>
      <c r="M158">
        <f t="shared" si="256"/>
        <v>-2.7372688029852207E-2</v>
      </c>
      <c r="N158">
        <f>IF($H158&lt;=$C$12,$H158*MIN($C$36,$C$45)+$I149,"")</f>
        <v>1.5619961132666694E-3</v>
      </c>
      <c r="O158">
        <f t="shared" si="257"/>
        <v>2.2175958709285677</v>
      </c>
      <c r="P158">
        <f t="shared" si="258"/>
        <v>-4.1397160783261354E-3</v>
      </c>
      <c r="Q158">
        <f t="shared" si="259"/>
        <v>13.305576691397839</v>
      </c>
      <c r="R158">
        <f t="shared" si="260"/>
        <v>-1.7235108739861782E-2</v>
      </c>
      <c r="S158">
        <f>IF($H158&lt;=$C$12,$H158*MIN($C$36,$C$46)+$I149,"")</f>
        <v>4.1905678261927619E-3</v>
      </c>
      <c r="T158">
        <f t="shared" si="261"/>
        <v>2.217591056696115</v>
      </c>
      <c r="U158">
        <f t="shared" si="262"/>
        <v>-9.2929834527288434E-3</v>
      </c>
      <c r="V158">
        <f t="shared" si="263"/>
        <v>13.305561083878272</v>
      </c>
      <c r="W158">
        <f t="shared" si="264"/>
        <v>-3.3581952602144326E-2</v>
      </c>
      <c r="X158">
        <f>IF($H158&lt;=$C$12,$H158*MIN($C$36,$C$47)+$I149,"")</f>
        <v>2.9334247682870867E-3</v>
      </c>
      <c r="Y158">
        <f t="shared" si="265"/>
        <v>2.2175940171529147</v>
      </c>
      <c r="Z158">
        <f t="shared" si="266"/>
        <v>-6.5051511728929532E-3</v>
      </c>
      <c r="AA158">
        <f t="shared" si="267"/>
        <v>13.305571014135126</v>
      </c>
      <c r="AB158">
        <f t="shared" si="268"/>
        <v>-2.3824535748217853E-2</v>
      </c>
      <c r="AC158">
        <f>IF($H158&lt;=$C$12,$H158*MIN($C$36,$C$44)+$I149,"")</f>
        <v>3.3905676816001298E-3</v>
      </c>
      <c r="AD158">
        <f t="shared" si="269"/>
        <v>56.326863838979897</v>
      </c>
      <c r="AE158">
        <f t="shared" si="270"/>
        <v>-0.19098027992412575</v>
      </c>
      <c r="AF158">
        <f t="shared" si="271"/>
        <v>337.96142233934421</v>
      </c>
      <c r="AG158">
        <f t="shared" si="272"/>
        <v>-0.69526627595824597</v>
      </c>
      <c r="AH158">
        <f>IF($H158&lt;=$C$12,$H158*MIN($C$36,$C$45)+$I149,"")</f>
        <v>1.5619961132666694E-3</v>
      </c>
      <c r="AI158">
        <f t="shared" si="273"/>
        <v>56.326939045313047</v>
      </c>
      <c r="AJ158">
        <f t="shared" si="274"/>
        <v>-8.7982481276266039E-2</v>
      </c>
      <c r="AK158">
        <f t="shared" si="275"/>
        <v>337.96167739103214</v>
      </c>
      <c r="AL158">
        <f t="shared" si="276"/>
        <v>-0.33477391258679234</v>
      </c>
      <c r="AM158">
        <f>IF($H158&lt;=$C$12,$H158*MIN($C$36,$C$46)+$I149,"")</f>
        <v>4.1905678261927619E-3</v>
      </c>
      <c r="AN158">
        <f t="shared" si="277"/>
        <v>56.326812840081317</v>
      </c>
      <c r="AO158">
        <f t="shared" si="278"/>
        <v>-0.23604177969931259</v>
      </c>
      <c r="AP158">
        <f t="shared" si="279"/>
        <v>337.96125153050809</v>
      </c>
      <c r="AQ158">
        <f t="shared" si="280"/>
        <v>-0.85298159609446578</v>
      </c>
      <c r="AR158">
        <f>IF($H158&lt;=$C$12,$H158*MIN($C$36,$C$47)+$I149,"")</f>
        <v>2.9334247682870867E-3</v>
      </c>
      <c r="AS158">
        <f t="shared" si="281"/>
        <v>56.326888035684028</v>
      </c>
      <c r="AT158">
        <f t="shared" si="282"/>
        <v>-0.16523083979148098</v>
      </c>
      <c r="AU158">
        <f t="shared" si="283"/>
        <v>337.96150375903215</v>
      </c>
      <c r="AV158">
        <f t="shared" si="284"/>
        <v>-0.60514320800473342</v>
      </c>
    </row>
    <row r="159" spans="1:48" x14ac:dyDescent="0.25">
      <c r="H159">
        <v>7</v>
      </c>
      <c r="I159" t="str">
        <f>IF($H159&lt;=$C$12,$H159*MIN($C$36,$C$44)+$I149,"")</f>
        <v/>
      </c>
      <c r="J159" t="str">
        <f t="shared" si="253"/>
        <v/>
      </c>
      <c r="K159" t="str">
        <f t="shared" si="254"/>
        <v/>
      </c>
      <c r="L159" t="str">
        <f t="shared" si="255"/>
        <v/>
      </c>
      <c r="M159" t="str">
        <f t="shared" si="256"/>
        <v/>
      </c>
      <c r="N159" t="str">
        <f>IF($H159&lt;=$C$12,$H159*MIN($C$36,$C$45)+$I149,"")</f>
        <v/>
      </c>
      <c r="O159" t="str">
        <f t="shared" si="257"/>
        <v/>
      </c>
      <c r="P159" t="str">
        <f t="shared" si="258"/>
        <v/>
      </c>
      <c r="Q159" t="str">
        <f t="shared" si="259"/>
        <v/>
      </c>
      <c r="R159" t="str">
        <f t="shared" si="260"/>
        <v/>
      </c>
      <c r="S159" t="str">
        <f>IF($H159&lt;=$C$12,$H159*MIN($C$36,$C$46)+$I149,"")</f>
        <v/>
      </c>
      <c r="T159" t="str">
        <f t="shared" si="261"/>
        <v/>
      </c>
      <c r="U159" t="str">
        <f t="shared" si="262"/>
        <v/>
      </c>
      <c r="V159" t="str">
        <f t="shared" si="263"/>
        <v/>
      </c>
      <c r="W159" t="str">
        <f t="shared" si="264"/>
        <v/>
      </c>
      <c r="X159" t="str">
        <f>IF($H159&lt;=$C$12,$H159*MIN($C$36,$C$47)+$I149,"")</f>
        <v/>
      </c>
      <c r="Y159" t="str">
        <f t="shared" si="265"/>
        <v/>
      </c>
      <c r="Z159" t="str">
        <f t="shared" si="266"/>
        <v/>
      </c>
      <c r="AA159" t="str">
        <f t="shared" si="267"/>
        <v/>
      </c>
      <c r="AB159" t="str">
        <f t="shared" si="268"/>
        <v/>
      </c>
      <c r="AC159" t="str">
        <f>IF($H159&lt;=$C$12,$H159*MIN($C$36,$C$44)+$I149,"")</f>
        <v/>
      </c>
      <c r="AD159" t="str">
        <f t="shared" si="269"/>
        <v/>
      </c>
      <c r="AE159" t="str">
        <f t="shared" si="270"/>
        <v/>
      </c>
      <c r="AF159" t="str">
        <f t="shared" si="271"/>
        <v/>
      </c>
      <c r="AG159" t="str">
        <f t="shared" si="272"/>
        <v/>
      </c>
      <c r="AH159" t="str">
        <f>IF($H159&lt;=$C$12,$H159*MIN($C$36,$C$45)+$I149,"")</f>
        <v/>
      </c>
      <c r="AI159" t="str">
        <f t="shared" si="273"/>
        <v/>
      </c>
      <c r="AJ159" t="str">
        <f t="shared" si="274"/>
        <v/>
      </c>
      <c r="AK159" t="str">
        <f t="shared" si="275"/>
        <v/>
      </c>
      <c r="AL159" t="str">
        <f t="shared" si="276"/>
        <v/>
      </c>
      <c r="AM159" t="str">
        <f>IF($H159&lt;=$C$12,$H159*MIN($C$36,$C$46)+$I149,"")</f>
        <v/>
      </c>
      <c r="AN159" t="str">
        <f t="shared" si="277"/>
        <v/>
      </c>
      <c r="AO159" t="str">
        <f t="shared" si="278"/>
        <v/>
      </c>
      <c r="AP159" t="str">
        <f t="shared" si="279"/>
        <v/>
      </c>
      <c r="AQ159" t="str">
        <f t="shared" si="280"/>
        <v/>
      </c>
      <c r="AR159" t="str">
        <f>IF($H159&lt;=$C$12,$H159*MIN($C$36,$C$47)+$I149,"")</f>
        <v/>
      </c>
      <c r="AS159" t="str">
        <f t="shared" si="281"/>
        <v/>
      </c>
      <c r="AT159" t="str">
        <f t="shared" si="282"/>
        <v/>
      </c>
      <c r="AU159" t="str">
        <f t="shared" si="283"/>
        <v/>
      </c>
      <c r="AV159" t="str">
        <f t="shared" si="284"/>
        <v/>
      </c>
    </row>
    <row r="160" spans="1:48" x14ac:dyDescent="0.25">
      <c r="H160">
        <v>8</v>
      </c>
      <c r="I160" t="str">
        <f>IF($H160&lt;=$C$12,$H160*MIN($C$36,$C$44)+$I149,"")</f>
        <v/>
      </c>
      <c r="J160" t="str">
        <f t="shared" si="253"/>
        <v/>
      </c>
      <c r="K160" t="str">
        <f t="shared" si="254"/>
        <v/>
      </c>
      <c r="L160" t="str">
        <f t="shared" si="255"/>
        <v/>
      </c>
      <c r="M160" t="str">
        <f t="shared" si="256"/>
        <v/>
      </c>
      <c r="N160" t="str">
        <f>IF($H160&lt;=$C$12,$H160*MIN($C$36,$C$45)+$I149,"")</f>
        <v/>
      </c>
      <c r="O160" t="str">
        <f t="shared" si="257"/>
        <v/>
      </c>
      <c r="P160" t="str">
        <f t="shared" si="258"/>
        <v/>
      </c>
      <c r="Q160" t="str">
        <f t="shared" si="259"/>
        <v/>
      </c>
      <c r="R160" t="str">
        <f t="shared" si="260"/>
        <v/>
      </c>
      <c r="S160" t="str">
        <f>IF($H160&lt;=$C$12,$H160*MIN($C$36,$C$46)+$I149,"")</f>
        <v/>
      </c>
      <c r="T160" t="str">
        <f t="shared" si="261"/>
        <v/>
      </c>
      <c r="U160" t="str">
        <f t="shared" si="262"/>
        <v/>
      </c>
      <c r="V160" t="str">
        <f t="shared" si="263"/>
        <v/>
      </c>
      <c r="W160" t="str">
        <f t="shared" si="264"/>
        <v/>
      </c>
      <c r="X160" t="str">
        <f>IF($H160&lt;=$C$12,$H160*MIN($C$36,$C$47)+$I149,"")</f>
        <v/>
      </c>
      <c r="Y160" t="str">
        <f t="shared" si="265"/>
        <v/>
      </c>
      <c r="Z160" t="str">
        <f t="shared" si="266"/>
        <v/>
      </c>
      <c r="AA160" t="str">
        <f t="shared" si="267"/>
        <v/>
      </c>
      <c r="AB160" t="str">
        <f t="shared" si="268"/>
        <v/>
      </c>
      <c r="AC160" t="str">
        <f>IF($H160&lt;=$C$12,$H160*MIN($C$36,$C$44)+$I149,"")</f>
        <v/>
      </c>
      <c r="AD160" t="str">
        <f t="shared" si="269"/>
        <v/>
      </c>
      <c r="AE160" t="str">
        <f t="shared" si="270"/>
        <v/>
      </c>
      <c r="AF160" t="str">
        <f t="shared" si="271"/>
        <v/>
      </c>
      <c r="AG160" t="str">
        <f t="shared" si="272"/>
        <v/>
      </c>
      <c r="AH160" t="str">
        <f>IF($H160&lt;=$C$12,$H160*MIN($C$36,$C$45)+$I149,"")</f>
        <v/>
      </c>
      <c r="AI160" t="str">
        <f t="shared" si="273"/>
        <v/>
      </c>
      <c r="AJ160" t="str">
        <f t="shared" si="274"/>
        <v/>
      </c>
      <c r="AK160" t="str">
        <f t="shared" si="275"/>
        <v/>
      </c>
      <c r="AL160" t="str">
        <f t="shared" si="276"/>
        <v/>
      </c>
      <c r="AM160" t="str">
        <f>IF($H160&lt;=$C$12,$H160*MIN($C$36,$C$46)+$I149,"")</f>
        <v/>
      </c>
      <c r="AN160" t="str">
        <f t="shared" si="277"/>
        <v/>
      </c>
      <c r="AO160" t="str">
        <f t="shared" si="278"/>
        <v/>
      </c>
      <c r="AP160" t="str">
        <f t="shared" si="279"/>
        <v/>
      </c>
      <c r="AQ160" t="str">
        <f t="shared" si="280"/>
        <v/>
      </c>
      <c r="AR160" t="str">
        <f>IF($H160&lt;=$C$12,$H160*MIN($C$36,$C$47)+$I149,"")</f>
        <v/>
      </c>
      <c r="AS160" t="str">
        <f t="shared" si="281"/>
        <v/>
      </c>
      <c r="AT160" t="str">
        <f t="shared" si="282"/>
        <v/>
      </c>
      <c r="AU160" t="str">
        <f t="shared" si="283"/>
        <v/>
      </c>
      <c r="AV160" t="str">
        <f t="shared" si="284"/>
        <v/>
      </c>
    </row>
    <row r="161" spans="1:48" x14ac:dyDescent="0.25">
      <c r="H161">
        <v>9</v>
      </c>
      <c r="I161" t="str">
        <f>IF($H161&lt;=$C$12,$H161*MIN($C$36,$C$44)+$I149,"")</f>
        <v/>
      </c>
      <c r="J161" t="str">
        <f t="shared" si="253"/>
        <v/>
      </c>
      <c r="K161" t="str">
        <f t="shared" si="254"/>
        <v/>
      </c>
      <c r="L161" t="str">
        <f t="shared" si="255"/>
        <v/>
      </c>
      <c r="M161" t="str">
        <f t="shared" si="256"/>
        <v/>
      </c>
      <c r="N161" t="str">
        <f>IF($H161&lt;=$C$12,$H161*MIN($C$36,$C$45)+$I149,"")</f>
        <v/>
      </c>
      <c r="O161" t="str">
        <f t="shared" si="257"/>
        <v/>
      </c>
      <c r="P161" t="str">
        <f t="shared" si="258"/>
        <v/>
      </c>
      <c r="Q161" t="str">
        <f t="shared" si="259"/>
        <v/>
      </c>
      <c r="R161" t="str">
        <f t="shared" si="260"/>
        <v/>
      </c>
      <c r="S161" t="str">
        <f>IF($H161&lt;=$C$12,$H161*MIN($C$36,$C$46)+$I149,"")</f>
        <v/>
      </c>
      <c r="T161" t="str">
        <f t="shared" si="261"/>
        <v/>
      </c>
      <c r="U161" t="str">
        <f t="shared" si="262"/>
        <v/>
      </c>
      <c r="V161" t="str">
        <f t="shared" si="263"/>
        <v/>
      </c>
      <c r="W161" t="str">
        <f t="shared" si="264"/>
        <v/>
      </c>
      <c r="X161" t="str">
        <f>IF($H161&lt;=$C$12,$H161*MIN($C$36,$C$47)+$I149,"")</f>
        <v/>
      </c>
      <c r="Y161" t="str">
        <f t="shared" si="265"/>
        <v/>
      </c>
      <c r="Z161" t="str">
        <f t="shared" si="266"/>
        <v/>
      </c>
      <c r="AA161" t="str">
        <f t="shared" si="267"/>
        <v/>
      </c>
      <c r="AB161" t="str">
        <f t="shared" si="268"/>
        <v/>
      </c>
      <c r="AC161" t="str">
        <f>IF($H161&lt;=$C$12,$H161*MIN($C$36,$C$44)+$I149,"")</f>
        <v/>
      </c>
      <c r="AD161" t="str">
        <f t="shared" si="269"/>
        <v/>
      </c>
      <c r="AE161" t="str">
        <f t="shared" si="270"/>
        <v/>
      </c>
      <c r="AF161" t="str">
        <f t="shared" si="271"/>
        <v/>
      </c>
      <c r="AG161" t="str">
        <f t="shared" si="272"/>
        <v/>
      </c>
      <c r="AH161" t="str">
        <f>IF($H161&lt;=$C$12,$H161*MIN($C$36,$C$45)+$I149,"")</f>
        <v/>
      </c>
      <c r="AI161" t="str">
        <f t="shared" si="273"/>
        <v/>
      </c>
      <c r="AJ161" t="str">
        <f t="shared" si="274"/>
        <v/>
      </c>
      <c r="AK161" t="str">
        <f t="shared" si="275"/>
        <v/>
      </c>
      <c r="AL161" t="str">
        <f t="shared" si="276"/>
        <v/>
      </c>
      <c r="AM161" t="str">
        <f>IF($H161&lt;=$C$12,$H161*MIN($C$36,$C$46)+$I149,"")</f>
        <v/>
      </c>
      <c r="AN161" t="str">
        <f t="shared" si="277"/>
        <v/>
      </c>
      <c r="AO161" t="str">
        <f t="shared" si="278"/>
        <v/>
      </c>
      <c r="AP161" t="str">
        <f t="shared" si="279"/>
        <v/>
      </c>
      <c r="AQ161" t="str">
        <f t="shared" si="280"/>
        <v/>
      </c>
      <c r="AR161" t="str">
        <f>IF($H161&lt;=$C$12,$H161*MIN($C$36,$C$47)+$I149,"")</f>
        <v/>
      </c>
      <c r="AS161" t="str">
        <f t="shared" si="281"/>
        <v/>
      </c>
      <c r="AT161" t="str">
        <f t="shared" si="282"/>
        <v/>
      </c>
      <c r="AU161" t="str">
        <f t="shared" si="283"/>
        <v/>
      </c>
      <c r="AV161" t="str">
        <f t="shared" si="284"/>
        <v/>
      </c>
    </row>
    <row r="162" spans="1:48" x14ac:dyDescent="0.25">
      <c r="H162">
        <v>10</v>
      </c>
      <c r="I162" t="str">
        <f>IF($H162&lt;=$C$12,$H162*MIN($C$36,$C$44)+$I149,"")</f>
        <v/>
      </c>
      <c r="J162" t="str">
        <f t="shared" si="253"/>
        <v/>
      </c>
      <c r="K162" t="str">
        <f t="shared" si="254"/>
        <v/>
      </c>
      <c r="L162" t="str">
        <f t="shared" si="255"/>
        <v/>
      </c>
      <c r="M162" t="str">
        <f t="shared" si="256"/>
        <v/>
      </c>
      <c r="N162" t="str">
        <f>IF($H162&lt;=$C$12,$H162*MIN($C$36,$C$45)+$I149,"")</f>
        <v/>
      </c>
      <c r="O162" t="str">
        <f t="shared" si="257"/>
        <v/>
      </c>
      <c r="P162" t="str">
        <f t="shared" si="258"/>
        <v/>
      </c>
      <c r="Q162" t="str">
        <f t="shared" si="259"/>
        <v/>
      </c>
      <c r="R162" t="str">
        <f t="shared" si="260"/>
        <v/>
      </c>
      <c r="S162" t="str">
        <f>IF($H162&lt;=$C$12,$H162*MIN($C$36,$C$46)+$I149,"")</f>
        <v/>
      </c>
      <c r="T162" t="str">
        <f t="shared" si="261"/>
        <v/>
      </c>
      <c r="U162" t="str">
        <f t="shared" si="262"/>
        <v/>
      </c>
      <c r="V162" t="str">
        <f t="shared" si="263"/>
        <v/>
      </c>
      <c r="W162" t="str">
        <f t="shared" si="264"/>
        <v/>
      </c>
      <c r="X162" t="str">
        <f>IF($H162&lt;=$C$12,$H162*MIN($C$36,$C$47)+$I149,"")</f>
        <v/>
      </c>
      <c r="Y162" t="str">
        <f t="shared" si="265"/>
        <v/>
      </c>
      <c r="Z162" t="str">
        <f t="shared" si="266"/>
        <v/>
      </c>
      <c r="AA162" t="str">
        <f t="shared" si="267"/>
        <v/>
      </c>
      <c r="AB162" t="str">
        <f t="shared" si="268"/>
        <v/>
      </c>
      <c r="AC162" t="str">
        <f>IF($H162&lt;=$C$12,$H162*MIN($C$36,$C$44)+$I149,"")</f>
        <v/>
      </c>
      <c r="AD162" t="str">
        <f t="shared" si="269"/>
        <v/>
      </c>
      <c r="AE162" t="str">
        <f t="shared" si="270"/>
        <v/>
      </c>
      <c r="AF162" t="str">
        <f t="shared" si="271"/>
        <v/>
      </c>
      <c r="AG162" t="str">
        <f t="shared" si="272"/>
        <v/>
      </c>
      <c r="AH162" t="str">
        <f>IF($H162&lt;=$C$12,$H162*MIN($C$36,$C$45)+$I149,"")</f>
        <v/>
      </c>
      <c r="AI162" t="str">
        <f t="shared" si="273"/>
        <v/>
      </c>
      <c r="AJ162" t="str">
        <f t="shared" si="274"/>
        <v/>
      </c>
      <c r="AK162" t="str">
        <f t="shared" si="275"/>
        <v/>
      </c>
      <c r="AL162" t="str">
        <f t="shared" si="276"/>
        <v/>
      </c>
      <c r="AM162" t="str">
        <f>IF($H162&lt;=$C$12,$H162*MIN($C$36,$C$46)+$I149,"")</f>
        <v/>
      </c>
      <c r="AN162" t="str">
        <f t="shared" si="277"/>
        <v/>
      </c>
      <c r="AO162" t="str">
        <f t="shared" si="278"/>
        <v/>
      </c>
      <c r="AP162" t="str">
        <f t="shared" si="279"/>
        <v/>
      </c>
      <c r="AQ162" t="str">
        <f t="shared" si="280"/>
        <v/>
      </c>
      <c r="AR162" t="str">
        <f>IF($H162&lt;=$C$12,$H162*MIN($C$36,$C$47)+$I149,"")</f>
        <v/>
      </c>
      <c r="AS162" t="str">
        <f t="shared" si="281"/>
        <v/>
      </c>
      <c r="AT162" t="str">
        <f t="shared" si="282"/>
        <v/>
      </c>
      <c r="AU162" t="str">
        <f t="shared" si="283"/>
        <v/>
      </c>
      <c r="AV162" t="str">
        <f t="shared" si="284"/>
        <v/>
      </c>
    </row>
    <row r="164" spans="1:48" x14ac:dyDescent="0.25">
      <c r="A164" s="14" t="s">
        <v>122</v>
      </c>
      <c r="B164" s="14"/>
      <c r="C164">
        <v>40</v>
      </c>
      <c r="D164" t="s">
        <v>9</v>
      </c>
      <c r="I164" s="15" t="s">
        <v>118</v>
      </c>
    </row>
    <row r="165" spans="1:48" x14ac:dyDescent="0.25">
      <c r="A165" t="s">
        <v>124</v>
      </c>
      <c r="B165"/>
      <c r="C165">
        <v>5</v>
      </c>
      <c r="D165" t="s">
        <v>2</v>
      </c>
      <c r="I165" s="41">
        <f>C172</f>
        <v>2.5409003746955307E-4</v>
      </c>
      <c r="U165" s="9" t="s">
        <v>109</v>
      </c>
      <c r="AB165" s="11" t="s">
        <v>119</v>
      </c>
      <c r="AC165" t="s">
        <v>120</v>
      </c>
      <c r="AO165" s="9" t="s">
        <v>109</v>
      </c>
    </row>
    <row r="166" spans="1:48" x14ac:dyDescent="0.25">
      <c r="A166" t="s">
        <v>125</v>
      </c>
      <c r="B166"/>
      <c r="C166">
        <v>30</v>
      </c>
      <c r="D166" t="s">
        <v>2</v>
      </c>
      <c r="H166" s="11"/>
      <c r="I166" s="44" t="str">
        <f>CONCATENATE("2 Segment (",$C164,"N Load)")</f>
        <v>2 Segment (40N Load)</v>
      </c>
      <c r="J166" s="45"/>
      <c r="K166" s="45"/>
      <c r="L166" s="45"/>
      <c r="M166" s="46"/>
      <c r="N166" s="44" t="s">
        <v>73</v>
      </c>
      <c r="O166" s="45"/>
      <c r="P166" s="45"/>
      <c r="Q166" s="45"/>
      <c r="R166" s="46"/>
      <c r="S166" s="44" t="str">
        <f>CONCATENATE("3 Segment (",$C164,"N Load)")</f>
        <v>3 Segment (40N Load)</v>
      </c>
      <c r="T166" s="45"/>
      <c r="U166" s="45"/>
      <c r="V166" s="45"/>
      <c r="W166" s="46"/>
      <c r="X166" s="44" t="s">
        <v>75</v>
      </c>
      <c r="Y166" s="45"/>
      <c r="Z166" s="45"/>
      <c r="AA166" s="45"/>
      <c r="AB166" s="46"/>
      <c r="AC166" s="44" t="str">
        <f>CONCATENATE("2 Segment (",$C164,"N Load)")</f>
        <v>2 Segment (40N Load)</v>
      </c>
      <c r="AD166" s="45"/>
      <c r="AE166" s="45"/>
      <c r="AF166" s="45"/>
      <c r="AG166" s="46"/>
      <c r="AH166" s="44" t="s">
        <v>73</v>
      </c>
      <c r="AI166" s="45"/>
      <c r="AJ166" s="45"/>
      <c r="AK166" s="45"/>
      <c r="AL166" s="46"/>
      <c r="AM166" s="44" t="str">
        <f>CONCATENATE("3 Segment (",$C164,"N Load)")</f>
        <v>3 Segment (40N Load)</v>
      </c>
      <c r="AN166" s="45"/>
      <c r="AO166" s="45"/>
      <c r="AP166" s="45"/>
      <c r="AQ166" s="46"/>
      <c r="AR166" s="44" t="s">
        <v>75</v>
      </c>
      <c r="AS166" s="45"/>
      <c r="AT166" s="45"/>
      <c r="AU166" s="45"/>
      <c r="AV166" s="46"/>
    </row>
    <row r="167" spans="1:48" x14ac:dyDescent="0.25">
      <c r="A167" t="s">
        <v>126</v>
      </c>
      <c r="B167"/>
      <c r="C167">
        <v>4.76</v>
      </c>
      <c r="D167" t="s">
        <v>2</v>
      </c>
      <c r="H167" s="13" t="s">
        <v>40</v>
      </c>
      <c r="I167" s="22" t="s">
        <v>68</v>
      </c>
      <c r="J167" s="23" t="s">
        <v>69</v>
      </c>
      <c r="K167" s="23" t="s">
        <v>70</v>
      </c>
      <c r="L167" s="24" t="s">
        <v>71</v>
      </c>
      <c r="M167" s="24" t="s">
        <v>72</v>
      </c>
      <c r="N167" s="22" t="s">
        <v>68</v>
      </c>
      <c r="O167" s="23" t="s">
        <v>69</v>
      </c>
      <c r="P167" s="23" t="s">
        <v>70</v>
      </c>
      <c r="Q167" s="24" t="s">
        <v>71</v>
      </c>
      <c r="R167" s="24" t="s">
        <v>72</v>
      </c>
      <c r="S167" s="22" t="s">
        <v>68</v>
      </c>
      <c r="T167" s="23" t="s">
        <v>69</v>
      </c>
      <c r="U167" s="23" t="s">
        <v>70</v>
      </c>
      <c r="V167" s="24" t="s">
        <v>71</v>
      </c>
      <c r="W167" s="24" t="s">
        <v>72</v>
      </c>
      <c r="X167" s="22" t="s">
        <v>68</v>
      </c>
      <c r="Y167" s="23" t="s">
        <v>69</v>
      </c>
      <c r="Z167" s="23" t="s">
        <v>70</v>
      </c>
      <c r="AA167" s="24" t="s">
        <v>71</v>
      </c>
      <c r="AB167" s="24" t="s">
        <v>72</v>
      </c>
      <c r="AC167" s="22" t="s">
        <v>68</v>
      </c>
      <c r="AD167" s="23" t="s">
        <v>69</v>
      </c>
      <c r="AE167" s="23" t="s">
        <v>70</v>
      </c>
      <c r="AF167" s="24" t="s">
        <v>71</v>
      </c>
      <c r="AG167" s="24" t="s">
        <v>72</v>
      </c>
      <c r="AH167" s="22" t="s">
        <v>68</v>
      </c>
      <c r="AI167" s="23" t="s">
        <v>69</v>
      </c>
      <c r="AJ167" s="23" t="s">
        <v>70</v>
      </c>
      <c r="AK167" s="24" t="s">
        <v>71</v>
      </c>
      <c r="AL167" s="24" t="s">
        <v>72</v>
      </c>
      <c r="AM167" s="22" t="s">
        <v>68</v>
      </c>
      <c r="AN167" s="23" t="s">
        <v>69</v>
      </c>
      <c r="AO167" s="23" t="s">
        <v>70</v>
      </c>
      <c r="AP167" s="24" t="s">
        <v>71</v>
      </c>
      <c r="AQ167" s="24" t="s">
        <v>72</v>
      </c>
      <c r="AR167" s="22" t="s">
        <v>68</v>
      </c>
      <c r="AS167" s="23" t="s">
        <v>69</v>
      </c>
      <c r="AT167" s="23" t="s">
        <v>70</v>
      </c>
      <c r="AU167" s="24" t="s">
        <v>71</v>
      </c>
      <c r="AV167" s="24" t="s">
        <v>72</v>
      </c>
    </row>
    <row r="168" spans="1:48" x14ac:dyDescent="0.25">
      <c r="A168" t="s">
        <v>129</v>
      </c>
      <c r="B168"/>
      <c r="C168">
        <v>68900</v>
      </c>
      <c r="D168" t="s">
        <v>117</v>
      </c>
      <c r="H168">
        <v>0</v>
      </c>
      <c r="I168">
        <f>IF($H168&lt;=$C$12,$H168*MIN($C$36,$C$44)+$I165,"")</f>
        <v>2.5409003746955307E-4</v>
      </c>
      <c r="J168">
        <f>IF($H168&lt;=$C$12,0,"")</f>
        <v>0</v>
      </c>
      <c r="K168">
        <f>IF($H168&lt;=$C$12,0,"")</f>
        <v>0</v>
      </c>
      <c r="L168">
        <f>IF($H168&lt;=$C$12,0,"")</f>
        <v>0</v>
      </c>
      <c r="M168">
        <f>IF($H168&lt;=$C$12,0,"")</f>
        <v>0</v>
      </c>
      <c r="N168">
        <f>IF($H168&lt;=$C$12,$H168*MIN($C$36,$C$45)+$I165,"")</f>
        <v>2.5409003746955307E-4</v>
      </c>
      <c r="O168">
        <f>IF($H168&lt;=$C$12,0,"")</f>
        <v>0</v>
      </c>
      <c r="P168">
        <f>IF($H168&lt;=$C$12,0,"")</f>
        <v>0</v>
      </c>
      <c r="Q168">
        <f>IF($H168&lt;=$C$12,0,"")</f>
        <v>0</v>
      </c>
      <c r="R168">
        <f>IF($H168&lt;=$C$12,0,"")</f>
        <v>0</v>
      </c>
      <c r="S168">
        <f>IF($H168&lt;=$C$12,$H168*MIN($C$36,$C$46)+$I165,"")</f>
        <v>2.5409003746955307E-4</v>
      </c>
      <c r="T168">
        <f>IF($H168&lt;=$C$12,0,"")</f>
        <v>0</v>
      </c>
      <c r="U168">
        <f>IF($H168&lt;=$C$12,0,"")</f>
        <v>0</v>
      </c>
      <c r="V168">
        <f>IF($H168&lt;=$C$12,0,"")</f>
        <v>0</v>
      </c>
      <c r="W168">
        <f>IF($H168&lt;=$C$12,0,"")</f>
        <v>0</v>
      </c>
      <c r="X168">
        <f>IF($H168&lt;=$C$12,$H168*MIN($C$36,$C$47)+$I165,"")</f>
        <v>2.5409003746955307E-4</v>
      </c>
      <c r="Y168">
        <f>IF($H168&lt;=$C$12,0,"")</f>
        <v>0</v>
      </c>
      <c r="Z168">
        <f>IF($H168&lt;=$C$12,0,"")</f>
        <v>0</v>
      </c>
      <c r="AA168">
        <f>IF($H168&lt;=$C$12,0,"")</f>
        <v>0</v>
      </c>
      <c r="AB168">
        <f>IF($H168&lt;=$C$12,0,"")</f>
        <v>0</v>
      </c>
      <c r="AC168">
        <f>IF($H168&lt;=$C$12,$H168*MIN($C$36,$C$44)+$I165,"")</f>
        <v>2.5409003746955307E-4</v>
      </c>
      <c r="AD168">
        <f>IF($H168&lt;=$C$12,0,"")</f>
        <v>0</v>
      </c>
      <c r="AE168">
        <f>IF($H168&lt;=$C$12,0,"")</f>
        <v>0</v>
      </c>
      <c r="AF168">
        <f>IF($H168&lt;=$C$12,0,"")</f>
        <v>0</v>
      </c>
      <c r="AG168">
        <f>IF($H168&lt;=$C$12,0,"")</f>
        <v>0</v>
      </c>
      <c r="AH168">
        <f>IF($H168&lt;=$C$12,$H168*MIN($C$36,$C$45)+$I165,"")</f>
        <v>2.5409003746955307E-4</v>
      </c>
      <c r="AI168">
        <f>IF($H168&lt;=$C$12,0,"")</f>
        <v>0</v>
      </c>
      <c r="AJ168">
        <f>IF($H168&lt;=$C$12,0,"")</f>
        <v>0</v>
      </c>
      <c r="AK168">
        <f>IF($H168&lt;=$C$12,0,"")</f>
        <v>0</v>
      </c>
      <c r="AL168">
        <f>IF($H168&lt;=$C$12,0,"")</f>
        <v>0</v>
      </c>
      <c r="AM168">
        <f>IF($H168&lt;=$C$12,$H168*MIN($C$36,$C$46)+$I165,"")</f>
        <v>2.5409003746955307E-4</v>
      </c>
      <c r="AN168">
        <f>IF($H168&lt;=$C$12,0,"")</f>
        <v>0</v>
      </c>
      <c r="AO168">
        <f>IF($H168&lt;=$C$12,0,"")</f>
        <v>0</v>
      </c>
      <c r="AP168">
        <f>IF($H168&lt;=$C$12,0,"")</f>
        <v>0</v>
      </c>
      <c r="AQ168">
        <f>IF($H168&lt;=$C$12,0,"")</f>
        <v>0</v>
      </c>
      <c r="AR168">
        <f>IF($H168&lt;=$C$12,$H168*MIN($C$36,$C$47)+$I165,"")</f>
        <v>2.5409003746955307E-4</v>
      </c>
      <c r="AS168">
        <f>IF($H168&lt;=$C$12,0,"")</f>
        <v>0</v>
      </c>
      <c r="AT168">
        <f>IF($H168&lt;=$C$12,0,"")</f>
        <v>0</v>
      </c>
      <c r="AU168">
        <f>IF($H168&lt;=$C$12,0,"")</f>
        <v>0</v>
      </c>
      <c r="AV168">
        <f>IF($H168&lt;=$C$12,0,"")</f>
        <v>0</v>
      </c>
    </row>
    <row r="169" spans="1:48" x14ac:dyDescent="0.25">
      <c r="A169" t="s">
        <v>130</v>
      </c>
      <c r="B169"/>
      <c r="C169" s="2">
        <f>C165*C167^3/12</f>
        <v>44.937573333333326</v>
      </c>
      <c r="D169" s="2" t="s">
        <v>80</v>
      </c>
      <c r="H169">
        <v>1</v>
      </c>
      <c r="I169">
        <f>IF($H169&lt;=$C$12,$H169*MIN($C$36,$C$44)+$I165,"")</f>
        <v>7.8742339608684029E-4</v>
      </c>
      <c r="J169">
        <f>IF($H169&lt;=$C$12,$C$4*COS($C$10)*COS(MIN($C$36,$C$44)+$I165)+K168*SIN(MIN($C$36,$C$44)+$I165),"")</f>
        <v>2.2175960717259113</v>
      </c>
      <c r="K169">
        <f>IF($H169&lt;=$C$12,-$C$4*COS($C$10)*SIN(MIN($C$36,$C$44)+$I165)+K168*COS(MIN($C$36,$C$44)+$I165),"")</f>
        <v>-1.74618739084672E-3</v>
      </c>
      <c r="L169">
        <f>IF($H169&lt;=$C$12,L168+J169,"")</f>
        <v>2.2175960717259113</v>
      </c>
      <c r="M169">
        <f>IF($H169&lt;=$C$12,M168+K169,"")</f>
        <v>-1.74618739084672E-3</v>
      </c>
      <c r="N169">
        <f>IF($H169&lt;=$C$12,$H169*MIN($C$36,$C$45)+$I165,"")</f>
        <v>4.8266146803126354E-4</v>
      </c>
      <c r="O169">
        <f>IF($H169&lt;=$C$12,$C$4*COS($C$10)*COS(MIN($C$36,$C$44)+$I165)+P168*SIN(MIN($C$36,$C$44)+$I165),"")</f>
        <v>2.2175960717259113</v>
      </c>
      <c r="P169">
        <f>IF($H169&lt;=$C$12,-$C$4*COS($C$10)*SIN(MIN($C$36,$C$44)+$I165)+P168*COS(MIN($C$36,$C$44)+$I165),"")</f>
        <v>-1.74618739084672E-3</v>
      </c>
      <c r="Q169">
        <f>IF($H169&lt;=$C$12,Q168+O169,"")</f>
        <v>2.2175960717259113</v>
      </c>
      <c r="R169">
        <f>IF($H169&lt;=$C$12,R168+P169,"")</f>
        <v>-1.74618739084672E-3</v>
      </c>
      <c r="S169">
        <f>IF($H169&lt;=$C$12,$H169*MIN($C$36,$C$46)+$I165,"")</f>
        <v>9.207567535189457E-4</v>
      </c>
      <c r="T169">
        <f>IF($H169&lt;=$C$12,$C$4*COS($C$10)*COS(MIN($C$36,$C$46)+$I165)+U168*SIN(MIN($C$36,$C$46)+$I165),"")</f>
        <v>2.2175958191889125</v>
      </c>
      <c r="U169">
        <f>IF($H169&lt;=$C$12,-$C$4*COS($C$10)*SIN(MIN($C$36,$C$46)+$I165)+U168*COS(MIN($C$36,$C$46)+$I165),"")</f>
        <v>-2.0418669041204246E-3</v>
      </c>
      <c r="V169">
        <f>IF($H169&lt;=$C$12,V168+T169,"")</f>
        <v>2.2175958191889125</v>
      </c>
      <c r="W169">
        <f>IF($H169&lt;=$C$12,W168+U169,"")</f>
        <v>-2.0418669041204246E-3</v>
      </c>
      <c r="X169">
        <f>IF($H169&lt;=$C$12,$H169*MIN($C$36,$C$47)+$I165,"")</f>
        <v>7.1123291053466634E-4</v>
      </c>
      <c r="Y169">
        <f>IF($H169&lt;=$C$12,$C$4*COS($C$10)*COS(MIN($C$36,$C$47)+$I165)+Z168*SIN(MIN($C$36,$C$47)+$I165),"")</f>
        <v>2.217596198332215</v>
      </c>
      <c r="Z169">
        <f>IF($H169&lt;=$C$12,-$C$4*COS($C$10)*SIN(MIN($C$36,$C$47)+$I165)+Z168*COS(MIN($C$36,$C$47)+$I165),"")</f>
        <v>-1.5772276644784972E-3</v>
      </c>
      <c r="AA169">
        <f>IF($H169&lt;=$C$12,AA168+Y169,"")</f>
        <v>2.217596198332215</v>
      </c>
      <c r="AB169">
        <f>IF($H169&lt;=$C$12,AB168+Z169,"")</f>
        <v>-1.5772276644784972E-3</v>
      </c>
      <c r="AC169">
        <f>IF($H169&lt;=$C$12,$H169*MIN($C$36,$C$44)+$I165,"")</f>
        <v>7.8742339608684029E-4</v>
      </c>
      <c r="AD169">
        <f>IF($H169&lt;=$C$12,$E$4*COS($C$10)*COS(MIN($C$36,$C$44)+$I165)+AE168*SIN(MIN($C$36,$C$44)+$I165),"")</f>
        <v>56.326940221838143</v>
      </c>
      <c r="AE169">
        <f>IF($H169&lt;=$C$12,-$E$4*COS($C$10)*SIN(MIN($C$36,$C$44)+$I165)+AE168*COS(MIN($C$36,$C$44)+$I165),"")</f>
        <v>-4.4353159727506683E-2</v>
      </c>
      <c r="AF169">
        <f>IF($H169&lt;=$C$12,AF168+AD169,"")</f>
        <v>56.326940221838143</v>
      </c>
      <c r="AG169">
        <f>IF($H169&lt;=$C$12,AG168+AE169,"")</f>
        <v>-4.4353159727506683E-2</v>
      </c>
      <c r="AH169">
        <f>IF($H169&lt;=$C$12,$H169*MIN($C$36,$C$45)+$I165,"")</f>
        <v>4.8266146803126354E-4</v>
      </c>
      <c r="AI169">
        <f>IF($H169&lt;=$C$12,$E$4*COS($C$10)*COS(MIN($C$36,$C$45)+$I165)+AJ168*SIN(MIN($C$36,$C$45)+$I165),"")</f>
        <v>56.326951123174034</v>
      </c>
      <c r="AJ169">
        <f>IF($H169&lt;=$C$12,-$E$4*COS($C$10)*SIN(MIN($C$36,$C$45)+$I165)+AJ168*COS(MIN($C$36,$C$45)+$I165),"")</f>
        <v>-2.718685103000501E-2</v>
      </c>
      <c r="AK169">
        <f>IF($H169&lt;=$C$12,AK168+AI169,"")</f>
        <v>56.326951123174034</v>
      </c>
      <c r="AL169">
        <f>IF($H169&lt;=$C$12,AL168+AJ169,"")</f>
        <v>-2.718685103000501E-2</v>
      </c>
      <c r="AM169">
        <f>IF($H169&lt;=$C$12,$H169*MIN($C$36,$C$46)+$I165,"")</f>
        <v>9.207567535189457E-4</v>
      </c>
      <c r="AN169">
        <f>IF($H169&lt;=$C$12,$E$4*COS($C$10)*COS(MIN($C$36,$C$46)+$I165)+AO168*SIN(MIN($C$36,$C$46)+$I165),"")</f>
        <v>56.326933807398369</v>
      </c>
      <c r="AO169">
        <f>IF($H169&lt;=$C$12,-$E$4*COS($C$10)*SIN(MIN($C$36,$C$46)+$I165)+AO168*COS(MIN($C$36,$C$46)+$I165),"")</f>
        <v>-5.1863419364658783E-2</v>
      </c>
      <c r="AP169">
        <f>IF($H169&lt;=$C$12,AP168+AN169,"")</f>
        <v>56.326933807398369</v>
      </c>
      <c r="AQ169">
        <f>IF($H169&lt;=$C$12,AQ168+AO169,"")</f>
        <v>-5.1863419364658783E-2</v>
      </c>
      <c r="AR169">
        <f>IF($H169&lt;=$C$12,$H169*MIN($C$36,$C$47)+$I165,"")</f>
        <v>7.1123291053466634E-4</v>
      </c>
      <c r="AS169">
        <f>IF($H169&lt;=$C$12,$E$4*COS($C$10)*COS(MIN($C$36,$C$47)+$I165)+AT168*SIN(MIN($C$36,$C$47)+$I165),"")</f>
        <v>56.326943437638256</v>
      </c>
      <c r="AT169">
        <f>IF($H169&lt;=$C$12,-$E$4*COS($C$10)*SIN(MIN($C$36,$C$47)+$I165)+AT168*COS(MIN($C$36,$C$47)+$I165),"")</f>
        <v>-4.0061582677753831E-2</v>
      </c>
      <c r="AU169">
        <f>IF($H169&lt;=$C$12,AU168+AS169,"")</f>
        <v>56.326943437638256</v>
      </c>
      <c r="AV169">
        <f>IF($H169&lt;=$C$12,AV168+AT169,"")</f>
        <v>-4.0061582677753831E-2</v>
      </c>
    </row>
    <row r="170" spans="1:48" x14ac:dyDescent="0.25">
      <c r="A170" t="s">
        <v>127</v>
      </c>
      <c r="B170"/>
      <c r="C170" s="2">
        <f>C164*C166^3/(48*C168*C169)</f>
        <v>7.2669752280187577E-3</v>
      </c>
      <c r="D170" s="2" t="s">
        <v>2</v>
      </c>
      <c r="H170">
        <v>2</v>
      </c>
      <c r="I170">
        <f>IF($H170&lt;=$C$12,$H170*MIN($C$36,$C$44)+$I165,"")</f>
        <v>1.3207567547041275E-3</v>
      </c>
      <c r="J170">
        <f t="shared" ref="J170:J178" si="285">IF($H170&lt;=$C$12,$C$4*COS($C$10)*COS(MIN($C$36,$C$44))+K169*SIN(MIN($C$36,$C$44)),"")</f>
        <v>2.2175955125288467</v>
      </c>
      <c r="K170">
        <f t="shared" ref="K170:K178" si="286">IF($H170&lt;=$C$12,-$C$4*COS($C$10)*SIN(MIN($C$36,$C$44))+K169*COS(MIN($C$36,$C$44)),"")</f>
        <v>-2.9289054140842377E-3</v>
      </c>
      <c r="L170">
        <f t="shared" ref="L170:L178" si="287">IF($H170&lt;=$C$12,L169+J170,"")</f>
        <v>4.435191584254758</v>
      </c>
      <c r="M170">
        <f t="shared" ref="M170:M178" si="288">IF($H170&lt;=$C$12,M169+K170,"")</f>
        <v>-4.6750928049309574E-3</v>
      </c>
      <c r="N170">
        <f>IF($H170&lt;=$C$12,$H170*MIN($C$36,$C$45)+$I165,"")</f>
        <v>7.1123289859297402E-4</v>
      </c>
      <c r="O170">
        <f t="shared" ref="O170:O178" si="289">IF($H170&lt;=$C$12,$C$4*COS($C$10)*COS(MIN($C$36,$C$45))+P169*SIN(MIN($C$36,$C$45)),"")</f>
        <v>2.2175963021627441</v>
      </c>
      <c r="P170">
        <f t="shared" ref="P170:P178" si="290">IF($H170&lt;=$C$12,-$C$4*COS($C$10)*SIN(MIN($C$36,$C$45))+P169*COS(MIN($C$36,$C$45)),"")</f>
        <v>-2.253066604482394E-3</v>
      </c>
      <c r="Q170">
        <f t="shared" ref="Q170:Q178" si="291">IF($H170&lt;=$C$12,Q169+O170,"")</f>
        <v>4.4351923738886558</v>
      </c>
      <c r="R170">
        <f t="shared" ref="R170:R178" si="292">IF($H170&lt;=$C$12,R169+P170,"")</f>
        <v>-3.9992539953291138E-3</v>
      </c>
      <c r="S170">
        <f>IF($H170&lt;=$C$12,$H170*MIN($C$36,$C$46)+$I165,"")</f>
        <v>1.5874234695683383E-3</v>
      </c>
      <c r="T170">
        <f t="shared" ref="T170:T178" si="293">IF($H170&lt;=$C$12,$C$4*COS($C$10)*COS(MIN($C$36,$C$46))+U169*SIN(MIN($C$36,$C$46)),"")</f>
        <v>2.2175949051764121</v>
      </c>
      <c r="U170">
        <f t="shared" ref="U170:U178" si="294">IF($H170&lt;=$C$12,-$C$4*COS($C$10)*SIN(MIN($C$36,$C$46))+U169*COS(MIN($C$36,$C$46)),"")</f>
        <v>-3.5202642898524063E-3</v>
      </c>
      <c r="V170">
        <f t="shared" ref="V170:V178" si="295">IF($H170&lt;=$C$12,V169+T170,"")</f>
        <v>4.4351907243653246</v>
      </c>
      <c r="W170">
        <f t="shared" ref="W170:W178" si="296">IF($H170&lt;=$C$12,W169+U170,"")</f>
        <v>-5.5621311939728305E-3</v>
      </c>
      <c r="X170">
        <f>IF($H170&lt;=$C$12,$H170*MIN($C$36,$C$47)+$I165,"")</f>
        <v>1.1683757835997798E-3</v>
      </c>
      <c r="Y170">
        <f t="shared" ref="Y170:Y178" si="297">IF($H170&lt;=$C$12,$C$4*COS($C$10)*COS(MIN($C$36,$C$47))+Z169*SIN(MIN($C$36,$C$47)),"")</f>
        <v>2.2175958064857437</v>
      </c>
      <c r="Z170">
        <f t="shared" ref="Z170:Z178" si="298">IF($H170&lt;=$C$12,-$C$4*COS($C$10)*SIN(MIN($C$36,$C$47))+Z169*COS(MIN($C$36,$C$47)),"")</f>
        <v>-2.5909860181750231E-3</v>
      </c>
      <c r="AA170">
        <f t="shared" ref="AA170:AA178" si="299">IF($H170&lt;=$C$12,AA169+Y170,"")</f>
        <v>4.4351920048179583</v>
      </c>
      <c r="AB170">
        <f t="shared" ref="AB170:AB178" si="300">IF($H170&lt;=$C$12,AB169+Z170,"")</f>
        <v>-4.1682136826535201E-3</v>
      </c>
      <c r="AC170">
        <f>IF($H170&lt;=$C$12,$H170*MIN($C$36,$C$44)+$I165,"")</f>
        <v>1.3207567547041275E-3</v>
      </c>
      <c r="AD170">
        <f t="shared" ref="AD170:AD178" si="301">IF($H170&lt;=$C$12,$E$4*COS($C$10)*COS(MIN($C$36,$C$44))+AE169*SIN(MIN($C$36,$C$44)),"")</f>
        <v>56.32692601823269</v>
      </c>
      <c r="AE170">
        <f t="shared" ref="AE170:AE178" si="302">IF($H170&lt;=$C$12,-$E$4*COS($C$10)*SIN(MIN($C$36,$C$44))+AE169*COS(MIN($C$36,$C$44)),"")</f>
        <v>-7.4394197517739624E-2</v>
      </c>
      <c r="AF170">
        <f t="shared" ref="AF170:AF178" si="303">IF($H170&lt;=$C$12,AF169+AD170,"")</f>
        <v>112.65386624007084</v>
      </c>
      <c r="AG170">
        <f t="shared" ref="AG170:AG178" si="304">IF($H170&lt;=$C$12,AG169+AE170,"")</f>
        <v>-0.11874735724524631</v>
      </c>
      <c r="AH170">
        <f>IF($H170&lt;=$C$12,$H170*MIN($C$36,$C$45)+$I165,"")</f>
        <v>7.1123289859297402E-4</v>
      </c>
      <c r="AI170">
        <f t="shared" ref="AI170:AI178" si="305">IF($H170&lt;=$C$12,$E$4*COS($C$10)*COS(MIN($C$36,$C$45))+AJ169*SIN(MIN($C$36,$C$45)),"")</f>
        <v>56.326949998661398</v>
      </c>
      <c r="AJ170">
        <f t="shared" ref="AJ170:AJ178" si="306">IF($H170&lt;=$C$12,-$E$4*COS($C$10)*SIN(MIN($C$36,$C$45))+AJ169*COS(MIN($C$36,$C$45)),"")</f>
        <v>-4.0061583504777162E-2</v>
      </c>
      <c r="AK170">
        <f t="shared" ref="AK170:AK178" si="307">IF($H170&lt;=$C$12,AK169+AI170,"")</f>
        <v>112.65390112183543</v>
      </c>
      <c r="AL170">
        <f t="shared" ref="AL170:AL178" si="308">IF($H170&lt;=$C$12,AL169+AJ170,"")</f>
        <v>-6.7248434534782173E-2</v>
      </c>
      <c r="AM170">
        <f>IF($H170&lt;=$C$12,$H170*MIN($C$36,$C$46)+$I165,"")</f>
        <v>1.5874234695683383E-3</v>
      </c>
      <c r="AN170">
        <f t="shared" ref="AN170:AN178" si="309">IF($H170&lt;=$C$12,$E$4*COS($C$10)*COS(MIN($C$36,$C$46))+AO169*SIN(MIN($C$36,$C$46)),"")</f>
        <v>56.326910591480868</v>
      </c>
      <c r="AO170">
        <f t="shared" ref="AO170:AO178" si="310">IF($H170&lt;=$C$12,-$E$4*COS($C$10)*SIN(MIN($C$36,$C$46))+AO169*COS(MIN($C$36,$C$46)),"")</f>
        <v>-8.9414712962251119E-2</v>
      </c>
      <c r="AP170">
        <f t="shared" ref="AP170:AP178" si="311">IF($H170&lt;=$C$12,AP169+AN170,"")</f>
        <v>112.65384439887924</v>
      </c>
      <c r="AQ170">
        <f t="shared" ref="AQ170:AQ178" si="312">IF($H170&lt;=$C$12,AQ169+AO170,"")</f>
        <v>-0.14127813232690989</v>
      </c>
      <c r="AR170">
        <f>IF($H170&lt;=$C$12,$H170*MIN($C$36,$C$47)+$I165,"")</f>
        <v>1.1683757835997798E-3</v>
      </c>
      <c r="AS170">
        <f t="shared" ref="AS170:AS178" si="313">IF($H170&lt;=$C$12,$E$4*COS($C$10)*COS(MIN($C$36,$C$47))+AT169*SIN(MIN($C$36,$C$47)),"")</f>
        <v>56.326933484737886</v>
      </c>
      <c r="AT170">
        <f t="shared" ref="AT170:AT178" si="314">IF($H170&lt;=$C$12,-$E$4*COS($C$10)*SIN(MIN($C$36,$C$47))+AT169*COS(MIN($C$36,$C$47)),"")</f>
        <v>-6.5811044861645587E-2</v>
      </c>
      <c r="AU170">
        <f t="shared" ref="AU170:AU178" si="315">IF($H170&lt;=$C$12,AU169+AS170,"")</f>
        <v>112.65387692237614</v>
      </c>
      <c r="AV170">
        <f t="shared" ref="AV170:AV178" si="316">IF($H170&lt;=$C$12,AV169+AT170,"")</f>
        <v>-0.10587262753939941</v>
      </c>
    </row>
    <row r="171" spans="1:48" x14ac:dyDescent="0.25">
      <c r="A171" t="s">
        <v>128</v>
      </c>
      <c r="B171"/>
      <c r="C171">
        <v>28.6</v>
      </c>
      <c r="D171" t="s">
        <v>2</v>
      </c>
      <c r="H171">
        <v>3</v>
      </c>
      <c r="I171">
        <f>IF($H171&lt;=$C$12,$H171*MIN($C$36,$C$44)+$I165,"")</f>
        <v>1.8540901133214146E-3</v>
      </c>
      <c r="J171">
        <f t="shared" si="285"/>
        <v>2.2175948817459008</v>
      </c>
      <c r="K171">
        <f t="shared" si="286"/>
        <v>-4.1116232691129576E-3</v>
      </c>
      <c r="L171">
        <f t="shared" si="287"/>
        <v>6.6527864660006593</v>
      </c>
      <c r="M171">
        <f t="shared" si="288"/>
        <v>-8.7867160740439151E-3</v>
      </c>
      <c r="N171">
        <f>IF($H171&lt;=$C$12,$H171*MIN($C$36,$C$45)+$I165,"")</f>
        <v>9.3980432915468444E-4</v>
      </c>
      <c r="O171">
        <f t="shared" si="289"/>
        <v>2.2175961863046383</v>
      </c>
      <c r="P171">
        <f t="shared" si="290"/>
        <v>-2.7599458048771413E-3</v>
      </c>
      <c r="Q171">
        <f t="shared" si="291"/>
        <v>6.6527885601932937</v>
      </c>
      <c r="R171">
        <f t="shared" si="292"/>
        <v>-6.759199800206255E-3</v>
      </c>
      <c r="S171">
        <f>IF($H171&lt;=$C$12,$H171*MIN($C$36,$C$46)+$I165,"")</f>
        <v>2.2540901856177306E-3</v>
      </c>
      <c r="T171">
        <f t="shared" si="293"/>
        <v>2.2175939195781549</v>
      </c>
      <c r="U171">
        <f t="shared" si="294"/>
        <v>-4.998661347051599E-3</v>
      </c>
      <c r="V171">
        <f t="shared" si="295"/>
        <v>6.6527846439434795</v>
      </c>
      <c r="W171">
        <f t="shared" si="296"/>
        <v>-1.056079254102443E-2</v>
      </c>
      <c r="X171">
        <f>IF($H171&lt;=$C$12,$H171*MIN($C$36,$C$47)+$I165,"")</f>
        <v>1.6255186566648931E-3</v>
      </c>
      <c r="Y171">
        <f t="shared" si="297"/>
        <v>2.2175953430533535</v>
      </c>
      <c r="Z171">
        <f t="shared" si="298"/>
        <v>-3.60474426594414E-3</v>
      </c>
      <c r="AA171">
        <f t="shared" si="299"/>
        <v>6.6527873478713122</v>
      </c>
      <c r="AB171">
        <f t="shared" si="300"/>
        <v>-7.7729579485976601E-3</v>
      </c>
      <c r="AC171">
        <f>IF($H171&lt;=$C$12,$H171*MIN($C$36,$C$44)+$I165,"")</f>
        <v>1.8540901133214146E-3</v>
      </c>
      <c r="AD171">
        <f t="shared" si="301"/>
        <v>56.326909996345869</v>
      </c>
      <c r="AE171">
        <f t="shared" si="302"/>
        <v>-0.10443523103546912</v>
      </c>
      <c r="AF171">
        <f t="shared" si="303"/>
        <v>168.98077623641672</v>
      </c>
      <c r="AG171">
        <f t="shared" si="304"/>
        <v>-0.22318258828071541</v>
      </c>
      <c r="AH171">
        <f>IF($H171&lt;=$C$12,$H171*MIN($C$36,$C$45)+$I165,"")</f>
        <v>9.3980432915468444E-4</v>
      </c>
      <c r="AI171">
        <f t="shared" si="305"/>
        <v>56.326947055865404</v>
      </c>
      <c r="AJ171">
        <f t="shared" si="306"/>
        <v>-5.2936315643229759E-2</v>
      </c>
      <c r="AK171">
        <f t="shared" si="307"/>
        <v>168.98084817770084</v>
      </c>
      <c r="AL171">
        <f t="shared" si="308"/>
        <v>-0.12018475017801193</v>
      </c>
      <c r="AM171">
        <f>IF($H171&lt;=$C$12,$H171*MIN($C$36,$C$46)+$I165,"")</f>
        <v>2.2540901856177306E-3</v>
      </c>
      <c r="AN171">
        <f t="shared" si="309"/>
        <v>56.326885557285131</v>
      </c>
      <c r="AO171">
        <f t="shared" si="310"/>
        <v>-0.12696599821511062</v>
      </c>
      <c r="AP171">
        <f t="shared" si="311"/>
        <v>168.98072995616437</v>
      </c>
      <c r="AQ171">
        <f t="shared" si="312"/>
        <v>-0.26824413054202051</v>
      </c>
      <c r="AR171">
        <f>IF($H171&lt;=$C$12,$H171*MIN($C$36,$C$47)+$I165,"")</f>
        <v>1.6255186566648931E-3</v>
      </c>
      <c r="AS171">
        <f t="shared" si="313"/>
        <v>56.326921713555173</v>
      </c>
      <c r="AT171">
        <f t="shared" si="314"/>
        <v>-9.1560504354981143E-2</v>
      </c>
      <c r="AU171">
        <f t="shared" si="315"/>
        <v>168.98079863593131</v>
      </c>
      <c r="AV171">
        <f t="shared" si="316"/>
        <v>-0.19743313189438055</v>
      </c>
    </row>
    <row r="172" spans="1:48" x14ac:dyDescent="0.25">
      <c r="A172" s="14" t="s">
        <v>131</v>
      </c>
      <c r="B172" s="14"/>
      <c r="C172" s="6">
        <f>ATAN(C170/C171)</f>
        <v>2.5409003746955307E-4</v>
      </c>
      <c r="D172" s="6" t="s">
        <v>13</v>
      </c>
      <c r="E172" s="6">
        <f>DEGREES(C172)</f>
        <v>1.4558286763326338E-2</v>
      </c>
      <c r="F172" s="6" t="s">
        <v>12</v>
      </c>
      <c r="H172">
        <v>4</v>
      </c>
      <c r="I172">
        <f>IF($H172&lt;=$C$12,$H172*MIN($C$36,$C$44)+$I165,"")</f>
        <v>2.3874234719387022E-3</v>
      </c>
      <c r="J172">
        <f t="shared" si="285"/>
        <v>2.2175942509630446</v>
      </c>
      <c r="K172">
        <f t="shared" si="286"/>
        <v>-5.2943409559329047E-3</v>
      </c>
      <c r="L172">
        <f t="shared" si="287"/>
        <v>8.8703807169637034</v>
      </c>
      <c r="M172">
        <f t="shared" si="288"/>
        <v>-1.4081057029976821E-2</v>
      </c>
      <c r="N172">
        <f>IF($H172&lt;=$C$12,$H172*MIN($C$36,$C$45)+$I165,"")</f>
        <v>1.168375759716395E-3</v>
      </c>
      <c r="O172">
        <f t="shared" si="289"/>
        <v>2.2175960704465352</v>
      </c>
      <c r="P172">
        <f t="shared" si="290"/>
        <v>-3.2668249920309624E-3</v>
      </c>
      <c r="Q172">
        <f t="shared" si="291"/>
        <v>8.8703846306398297</v>
      </c>
      <c r="R172">
        <f t="shared" si="292"/>
        <v>-1.0026024792237218E-2</v>
      </c>
      <c r="S172">
        <f>IF($H172&lt;=$C$12,$H172*MIN($C$36,$C$46)+$I165,"")</f>
        <v>2.9207569016671238E-3</v>
      </c>
      <c r="T172">
        <f t="shared" si="293"/>
        <v>2.217592933980117</v>
      </c>
      <c r="U172">
        <f t="shared" si="294"/>
        <v>-6.4770580757180759E-3</v>
      </c>
      <c r="V172">
        <f t="shared" si="295"/>
        <v>8.8703775779235965</v>
      </c>
      <c r="W172">
        <f t="shared" si="296"/>
        <v>-1.7037850616742505E-2</v>
      </c>
      <c r="X172">
        <f>IF($H172&lt;=$C$12,$H172*MIN($C$36,$C$47)+$I165,"")</f>
        <v>2.0826615297300064E-3</v>
      </c>
      <c r="Y172">
        <f t="shared" si="297"/>
        <v>2.2175948796210116</v>
      </c>
      <c r="Z172">
        <f t="shared" si="298"/>
        <v>-4.6185024077858589E-3</v>
      </c>
      <c r="AA172">
        <f t="shared" si="299"/>
        <v>8.8703822274923247</v>
      </c>
      <c r="AB172">
        <f t="shared" si="300"/>
        <v>-1.239146035638352E-2</v>
      </c>
      <c r="AC172">
        <f>IF($H172&lt;=$C$12,$H172*MIN($C$36,$C$44)+$I165,"")</f>
        <v>2.3874234719387022E-3</v>
      </c>
      <c r="AD172">
        <f t="shared" si="301"/>
        <v>56.326893974461328</v>
      </c>
      <c r="AE172">
        <f t="shared" si="302"/>
        <v>-0.13447626028069576</v>
      </c>
      <c r="AF172">
        <f t="shared" si="303"/>
        <v>225.30767021087803</v>
      </c>
      <c r="AG172">
        <f t="shared" si="304"/>
        <v>-0.35765884856141117</v>
      </c>
      <c r="AH172">
        <f>IF($H172&lt;=$C$12,$H172*MIN($C$36,$C$45)+$I165,"")</f>
        <v>1.168375759716395E-3</v>
      </c>
      <c r="AI172">
        <f t="shared" si="305"/>
        <v>56.326944113069487</v>
      </c>
      <c r="AJ172">
        <f t="shared" si="306"/>
        <v>-6.5811047445362827E-2</v>
      </c>
      <c r="AK172">
        <f t="shared" si="307"/>
        <v>225.30779229077032</v>
      </c>
      <c r="AL172">
        <f t="shared" si="308"/>
        <v>-0.18599579762337476</v>
      </c>
      <c r="AM172">
        <f>IF($H172&lt;=$C$12,$H172*MIN($C$36,$C$46)+$I165,"")</f>
        <v>2.9207569016671238E-3</v>
      </c>
      <c r="AN172">
        <f t="shared" si="309"/>
        <v>56.326860523094965</v>
      </c>
      <c r="AO172">
        <f t="shared" si="310"/>
        <v>-0.16451727512323913</v>
      </c>
      <c r="AP172">
        <f t="shared" si="311"/>
        <v>225.30759047925932</v>
      </c>
      <c r="AQ172">
        <f t="shared" si="312"/>
        <v>-0.43276140566525967</v>
      </c>
      <c r="AR172">
        <f>IF($H172&lt;=$C$12,$H172*MIN($C$36,$C$47)+$I165,"")</f>
        <v>2.0826615297300064E-3</v>
      </c>
      <c r="AS172">
        <f t="shared" si="313"/>
        <v>56.326909942373696</v>
      </c>
      <c r="AT172">
        <f t="shared" si="314"/>
        <v>-0.11730996115776079</v>
      </c>
      <c r="AU172">
        <f t="shared" si="315"/>
        <v>225.30770857830501</v>
      </c>
      <c r="AV172">
        <f t="shared" si="316"/>
        <v>-0.31474309305214132</v>
      </c>
    </row>
    <row r="173" spans="1:48" x14ac:dyDescent="0.25">
      <c r="B173"/>
      <c r="H173">
        <v>5</v>
      </c>
      <c r="I173">
        <f>IF($H173&lt;=$C$12,$H173*MIN($C$36,$C$44)+$I165,"")</f>
        <v>2.9207568305559895E-3</v>
      </c>
      <c r="J173">
        <f t="shared" si="285"/>
        <v>2.2175936201802786</v>
      </c>
      <c r="K173">
        <f t="shared" si="286"/>
        <v>-6.4770584745441019E-3</v>
      </c>
      <c r="L173">
        <f t="shared" si="287"/>
        <v>11.087974337143983</v>
      </c>
      <c r="M173">
        <f t="shared" si="288"/>
        <v>-2.0558115504520923E-2</v>
      </c>
      <c r="N173">
        <f>IF($H173&lt;=$C$12,$H173*MIN($C$36,$C$45)+$I165,"")</f>
        <v>1.3969471902781055E-3</v>
      </c>
      <c r="O173">
        <f t="shared" si="289"/>
        <v>2.2175959545884356</v>
      </c>
      <c r="P173">
        <f t="shared" si="290"/>
        <v>-3.7737041659438577E-3</v>
      </c>
      <c r="Q173">
        <f t="shared" si="291"/>
        <v>11.087980585228266</v>
      </c>
      <c r="R173">
        <f t="shared" si="292"/>
        <v>-1.3799728958181077E-2</v>
      </c>
      <c r="S173">
        <f>IF($H173&lt;=$C$12,$H173*MIN($C$36,$C$46)+$I165,"")</f>
        <v>3.5874236177165161E-3</v>
      </c>
      <c r="T173">
        <f t="shared" si="293"/>
        <v>2.2175919483822977</v>
      </c>
      <c r="U173">
        <f t="shared" si="294"/>
        <v>-7.9554544758519107E-3</v>
      </c>
      <c r="V173">
        <f t="shared" si="295"/>
        <v>11.087969526305894</v>
      </c>
      <c r="W173">
        <f t="shared" si="296"/>
        <v>-2.4993305092594415E-2</v>
      </c>
      <c r="X173">
        <f>IF($H173&lt;=$C$12,$H173*MIN($C$36,$C$47)+$I165,"")</f>
        <v>2.5398044027951198E-3</v>
      </c>
      <c r="Y173">
        <f t="shared" si="297"/>
        <v>2.2175944161887182</v>
      </c>
      <c r="Z173">
        <f t="shared" si="298"/>
        <v>-5.6322604437001912E-3</v>
      </c>
      <c r="AA173">
        <f t="shared" si="299"/>
        <v>11.087976643681042</v>
      </c>
      <c r="AB173">
        <f t="shared" si="300"/>
        <v>-1.8023720800083711E-2</v>
      </c>
      <c r="AC173">
        <f>IF($H173&lt;=$C$12,$H173*MIN($C$36,$C$44)+$I165,"")</f>
        <v>2.9207568305559895E-3</v>
      </c>
      <c r="AD173">
        <f t="shared" si="301"/>
        <v>56.326877952579061</v>
      </c>
      <c r="AE173">
        <f t="shared" si="302"/>
        <v>-0.16451728525342019</v>
      </c>
      <c r="AF173">
        <f t="shared" si="303"/>
        <v>281.63454816345711</v>
      </c>
      <c r="AG173">
        <f t="shared" si="304"/>
        <v>-0.52217613381483141</v>
      </c>
      <c r="AH173">
        <f>IF($H173&lt;=$C$12,$H173*MIN($C$36,$C$45)+$I165,"")</f>
        <v>1.3969471902781055E-3</v>
      </c>
      <c r="AI173">
        <f t="shared" si="305"/>
        <v>56.326941170273649</v>
      </c>
      <c r="AJ173">
        <f t="shared" si="306"/>
        <v>-7.8685778911176354E-2</v>
      </c>
      <c r="AK173">
        <f t="shared" si="307"/>
        <v>281.63473346104399</v>
      </c>
      <c r="AL173">
        <f t="shared" si="308"/>
        <v>-0.2646815765345511</v>
      </c>
      <c r="AM173">
        <f>IF($H173&lt;=$C$12,$H173*MIN($C$36,$C$46)+$I165,"")</f>
        <v>3.5874236177165161E-3</v>
      </c>
      <c r="AN173">
        <f t="shared" si="309"/>
        <v>56.326835488910362</v>
      </c>
      <c r="AO173">
        <f t="shared" si="310"/>
        <v>-0.20206854368663851</v>
      </c>
      <c r="AP173">
        <f t="shared" si="311"/>
        <v>281.63442596816969</v>
      </c>
      <c r="AQ173">
        <f t="shared" si="312"/>
        <v>-0.63482994935189818</v>
      </c>
      <c r="AR173">
        <f>IF($H173&lt;=$C$12,$H173*MIN($C$36,$C$47)+$I165,"")</f>
        <v>2.5398044027951198E-3</v>
      </c>
      <c r="AS173">
        <f t="shared" si="313"/>
        <v>56.326898171193442</v>
      </c>
      <c r="AT173">
        <f t="shared" si="314"/>
        <v>-0.14305941526998484</v>
      </c>
      <c r="AU173">
        <f t="shared" si="315"/>
        <v>281.63460674949846</v>
      </c>
      <c r="AV173">
        <f t="shared" si="316"/>
        <v>-0.45780250832212616</v>
      </c>
    </row>
    <row r="174" spans="1:48" x14ac:dyDescent="0.25">
      <c r="B174"/>
      <c r="H174">
        <v>6</v>
      </c>
      <c r="I174">
        <f>IF($H174&lt;=$C$12,$H174*MIN($C$36,$C$44)+$I165,"")</f>
        <v>3.4540901891732759E-3</v>
      </c>
      <c r="J174">
        <f t="shared" si="285"/>
        <v>2.2175929893976019</v>
      </c>
      <c r="K174">
        <f t="shared" si="286"/>
        <v>-7.6597758249465735E-3</v>
      </c>
      <c r="L174">
        <f t="shared" si="287"/>
        <v>13.305567326541585</v>
      </c>
      <c r="M174">
        <f t="shared" si="288"/>
        <v>-2.8217891329467497E-2</v>
      </c>
      <c r="N174">
        <f>IF($H174&lt;=$C$12,$H174*MIN($C$36,$C$45)+$I165,"")</f>
        <v>1.6255186208398158E-3</v>
      </c>
      <c r="O174">
        <f t="shared" si="289"/>
        <v>2.2175958387303387</v>
      </c>
      <c r="P174">
        <f t="shared" si="290"/>
        <v>-4.2805833266158274E-3</v>
      </c>
      <c r="Q174">
        <f t="shared" si="291"/>
        <v>13.305576423958605</v>
      </c>
      <c r="R174">
        <f t="shared" si="292"/>
        <v>-1.8080312284796902E-2</v>
      </c>
      <c r="S174">
        <f>IF($H174&lt;=$C$12,$H174*MIN($C$36,$C$46)+$I165,"")</f>
        <v>4.2540903337659084E-3</v>
      </c>
      <c r="T174">
        <f t="shared" si="293"/>
        <v>2.2175909627846977</v>
      </c>
      <c r="U174">
        <f t="shared" si="294"/>
        <v>-9.4338505474531754E-3</v>
      </c>
      <c r="V174">
        <f t="shared" si="295"/>
        <v>13.305560489090592</v>
      </c>
      <c r="W174">
        <f t="shared" si="296"/>
        <v>-3.4427155640047592E-2</v>
      </c>
      <c r="X174">
        <f>IF($H174&lt;=$C$12,$H174*MIN($C$36,$C$47)+$I165,"")</f>
        <v>2.9969472758602329E-3</v>
      </c>
      <c r="Y174">
        <f t="shared" si="297"/>
        <v>2.2175939527564732</v>
      </c>
      <c r="Z174">
        <f t="shared" si="298"/>
        <v>-6.6460183736871473E-3</v>
      </c>
      <c r="AA174">
        <f t="shared" si="299"/>
        <v>13.305570596437516</v>
      </c>
      <c r="AB174">
        <f t="shared" si="300"/>
        <v>-2.4669739173770858E-2</v>
      </c>
      <c r="AC174">
        <f>IF($H174&lt;=$C$12,$H174*MIN($C$36,$C$44)+$I165,"")</f>
        <v>3.4540901891732759E-3</v>
      </c>
      <c r="AD174">
        <f t="shared" si="301"/>
        <v>56.326861930699081</v>
      </c>
      <c r="AE174">
        <f t="shared" si="302"/>
        <v>-0.19455830595364298</v>
      </c>
      <c r="AF174">
        <f t="shared" si="303"/>
        <v>337.96141009415618</v>
      </c>
      <c r="AG174">
        <f t="shared" si="304"/>
        <v>-0.7167344397684744</v>
      </c>
      <c r="AH174">
        <f>IF($H174&lt;=$C$12,$H174*MIN($C$36,$C$45)+$I165,"")</f>
        <v>1.6255186208398158E-3</v>
      </c>
      <c r="AI174">
        <f t="shared" si="305"/>
        <v>56.326938227477882</v>
      </c>
      <c r="AJ174">
        <f t="shared" si="306"/>
        <v>-9.1560510040670368E-2</v>
      </c>
      <c r="AK174">
        <f t="shared" si="307"/>
        <v>337.96167168852185</v>
      </c>
      <c r="AL174">
        <f t="shared" si="308"/>
        <v>-0.35624208657522149</v>
      </c>
      <c r="AM174">
        <f>IF($H174&lt;=$C$12,$H174*MIN($C$36,$C$46)+$I165,"")</f>
        <v>4.2540903337659084E-3</v>
      </c>
      <c r="AN174">
        <f t="shared" si="309"/>
        <v>56.326810454731316</v>
      </c>
      <c r="AO174">
        <f t="shared" si="310"/>
        <v>-0.23961980390531062</v>
      </c>
      <c r="AP174">
        <f t="shared" si="311"/>
        <v>337.96123642290104</v>
      </c>
      <c r="AQ174">
        <f t="shared" si="312"/>
        <v>-0.87444975325720886</v>
      </c>
      <c r="AR174">
        <f>IF($H174&lt;=$C$12,$H174*MIN($C$36,$C$47)+$I165,"")</f>
        <v>2.9969472758602329E-3</v>
      </c>
      <c r="AS174">
        <f t="shared" si="313"/>
        <v>56.326886400014416</v>
      </c>
      <c r="AT174">
        <f t="shared" si="314"/>
        <v>-0.16880886669165351</v>
      </c>
      <c r="AU174">
        <f t="shared" si="315"/>
        <v>337.96149314951288</v>
      </c>
      <c r="AV174">
        <f t="shared" si="316"/>
        <v>-0.62661137501377961</v>
      </c>
    </row>
    <row r="175" spans="1:48" x14ac:dyDescent="0.25">
      <c r="H175">
        <v>7</v>
      </c>
      <c r="I175" t="str">
        <f>IF($H175&lt;=$C$12,$H175*MIN($C$36,$C$44)+$I165,"")</f>
        <v/>
      </c>
      <c r="J175" t="str">
        <f t="shared" si="285"/>
        <v/>
      </c>
      <c r="K175" t="str">
        <f t="shared" si="286"/>
        <v/>
      </c>
      <c r="L175" t="str">
        <f t="shared" si="287"/>
        <v/>
      </c>
      <c r="M175" t="str">
        <f t="shared" si="288"/>
        <v/>
      </c>
      <c r="N175" t="str">
        <f>IF($H175&lt;=$C$12,$H175*MIN($C$36,$C$45)+$I165,"")</f>
        <v/>
      </c>
      <c r="O175" t="str">
        <f t="shared" si="289"/>
        <v/>
      </c>
      <c r="P175" t="str">
        <f t="shared" si="290"/>
        <v/>
      </c>
      <c r="Q175" t="str">
        <f t="shared" si="291"/>
        <v/>
      </c>
      <c r="R175" t="str">
        <f t="shared" si="292"/>
        <v/>
      </c>
      <c r="S175" t="str">
        <f>IF($H175&lt;=$C$12,$H175*MIN($C$36,$C$46)+$I165,"")</f>
        <v/>
      </c>
      <c r="T175" t="str">
        <f t="shared" si="293"/>
        <v/>
      </c>
      <c r="U175" t="str">
        <f t="shared" si="294"/>
        <v/>
      </c>
      <c r="V175" t="str">
        <f t="shared" si="295"/>
        <v/>
      </c>
      <c r="W175" t="str">
        <f t="shared" si="296"/>
        <v/>
      </c>
      <c r="X175" t="str">
        <f>IF($H175&lt;=$C$12,$H175*MIN($C$36,$C$47)+$I165,"")</f>
        <v/>
      </c>
      <c r="Y175" t="str">
        <f t="shared" si="297"/>
        <v/>
      </c>
      <c r="Z175" t="str">
        <f t="shared" si="298"/>
        <v/>
      </c>
      <c r="AA175" t="str">
        <f t="shared" si="299"/>
        <v/>
      </c>
      <c r="AB175" t="str">
        <f t="shared" si="300"/>
        <v/>
      </c>
      <c r="AC175" t="str">
        <f>IF($H175&lt;=$C$12,$H175*MIN($C$36,$C$44)+$I165,"")</f>
        <v/>
      </c>
      <c r="AD175" t="str">
        <f t="shared" si="301"/>
        <v/>
      </c>
      <c r="AE175" t="str">
        <f t="shared" si="302"/>
        <v/>
      </c>
      <c r="AF175" t="str">
        <f t="shared" si="303"/>
        <v/>
      </c>
      <c r="AG175" t="str">
        <f t="shared" si="304"/>
        <v/>
      </c>
      <c r="AH175" t="str">
        <f>IF($H175&lt;=$C$12,$H175*MIN($C$36,$C$45)+$I165,"")</f>
        <v/>
      </c>
      <c r="AI175" t="str">
        <f t="shared" si="305"/>
        <v/>
      </c>
      <c r="AJ175" t="str">
        <f t="shared" si="306"/>
        <v/>
      </c>
      <c r="AK175" t="str">
        <f t="shared" si="307"/>
        <v/>
      </c>
      <c r="AL175" t="str">
        <f t="shared" si="308"/>
        <v/>
      </c>
      <c r="AM175" t="str">
        <f>IF($H175&lt;=$C$12,$H175*MIN($C$36,$C$46)+$I165,"")</f>
        <v/>
      </c>
      <c r="AN175" t="str">
        <f t="shared" si="309"/>
        <v/>
      </c>
      <c r="AO175" t="str">
        <f t="shared" si="310"/>
        <v/>
      </c>
      <c r="AP175" t="str">
        <f t="shared" si="311"/>
        <v/>
      </c>
      <c r="AQ175" t="str">
        <f t="shared" si="312"/>
        <v/>
      </c>
      <c r="AR175" t="str">
        <f>IF($H175&lt;=$C$12,$H175*MIN($C$36,$C$47)+$I165,"")</f>
        <v/>
      </c>
      <c r="AS175" t="str">
        <f t="shared" si="313"/>
        <v/>
      </c>
      <c r="AT175" t="str">
        <f t="shared" si="314"/>
        <v/>
      </c>
      <c r="AU175" t="str">
        <f t="shared" si="315"/>
        <v/>
      </c>
      <c r="AV175" t="str">
        <f t="shared" si="316"/>
        <v/>
      </c>
    </row>
    <row r="176" spans="1:48" x14ac:dyDescent="0.25">
      <c r="H176">
        <v>8</v>
      </c>
      <c r="I176" t="str">
        <f>IF($H176&lt;=$C$12,$H176*MIN($C$36,$C$44)+$I165,"")</f>
        <v/>
      </c>
      <c r="J176" t="str">
        <f t="shared" si="285"/>
        <v/>
      </c>
      <c r="K176" t="str">
        <f t="shared" si="286"/>
        <v/>
      </c>
      <c r="L176" t="str">
        <f t="shared" si="287"/>
        <v/>
      </c>
      <c r="M176" t="str">
        <f t="shared" si="288"/>
        <v/>
      </c>
      <c r="N176" t="str">
        <f>IF($H176&lt;=$C$12,$H176*MIN($C$36,$C$45)+$I165,"")</f>
        <v/>
      </c>
      <c r="O176" t="str">
        <f t="shared" si="289"/>
        <v/>
      </c>
      <c r="P176" t="str">
        <f t="shared" si="290"/>
        <v/>
      </c>
      <c r="Q176" t="str">
        <f t="shared" si="291"/>
        <v/>
      </c>
      <c r="R176" t="str">
        <f t="shared" si="292"/>
        <v/>
      </c>
      <c r="S176" t="str">
        <f>IF($H176&lt;=$C$12,$H176*MIN($C$36,$C$46)+$I165,"")</f>
        <v/>
      </c>
      <c r="T176" t="str">
        <f t="shared" si="293"/>
        <v/>
      </c>
      <c r="U176" t="str">
        <f t="shared" si="294"/>
        <v/>
      </c>
      <c r="V176" t="str">
        <f t="shared" si="295"/>
        <v/>
      </c>
      <c r="W176" t="str">
        <f t="shared" si="296"/>
        <v/>
      </c>
      <c r="X176" t="str">
        <f>IF($H176&lt;=$C$12,$H176*MIN($C$36,$C$47)+$I165,"")</f>
        <v/>
      </c>
      <c r="Y176" t="str">
        <f t="shared" si="297"/>
        <v/>
      </c>
      <c r="Z176" t="str">
        <f t="shared" si="298"/>
        <v/>
      </c>
      <c r="AA176" t="str">
        <f t="shared" si="299"/>
        <v/>
      </c>
      <c r="AB176" t="str">
        <f t="shared" si="300"/>
        <v/>
      </c>
      <c r="AC176" t="str">
        <f>IF($H176&lt;=$C$12,$H176*MIN($C$36,$C$44)+$I165,"")</f>
        <v/>
      </c>
      <c r="AD176" t="str">
        <f t="shared" si="301"/>
        <v/>
      </c>
      <c r="AE176" t="str">
        <f t="shared" si="302"/>
        <v/>
      </c>
      <c r="AF176" t="str">
        <f t="shared" si="303"/>
        <v/>
      </c>
      <c r="AG176" t="str">
        <f t="shared" si="304"/>
        <v/>
      </c>
      <c r="AH176" t="str">
        <f>IF($H176&lt;=$C$12,$H176*MIN($C$36,$C$45)+$I165,"")</f>
        <v/>
      </c>
      <c r="AI176" t="str">
        <f t="shared" si="305"/>
        <v/>
      </c>
      <c r="AJ176" t="str">
        <f t="shared" si="306"/>
        <v/>
      </c>
      <c r="AK176" t="str">
        <f t="shared" si="307"/>
        <v/>
      </c>
      <c r="AL176" t="str">
        <f t="shared" si="308"/>
        <v/>
      </c>
      <c r="AM176" t="str">
        <f>IF($H176&lt;=$C$12,$H176*MIN($C$36,$C$46)+$I165,"")</f>
        <v/>
      </c>
      <c r="AN176" t="str">
        <f t="shared" si="309"/>
        <v/>
      </c>
      <c r="AO176" t="str">
        <f t="shared" si="310"/>
        <v/>
      </c>
      <c r="AP176" t="str">
        <f t="shared" si="311"/>
        <v/>
      </c>
      <c r="AQ176" t="str">
        <f t="shared" si="312"/>
        <v/>
      </c>
      <c r="AR176" t="str">
        <f>IF($H176&lt;=$C$12,$H176*MIN($C$36,$C$47)+$I165,"")</f>
        <v/>
      </c>
      <c r="AS176" t="str">
        <f t="shared" si="313"/>
        <v/>
      </c>
      <c r="AT176" t="str">
        <f t="shared" si="314"/>
        <v/>
      </c>
      <c r="AU176" t="str">
        <f t="shared" si="315"/>
        <v/>
      </c>
      <c r="AV176" t="str">
        <f t="shared" si="316"/>
        <v/>
      </c>
    </row>
    <row r="177" spans="8:48" x14ac:dyDescent="0.25">
      <c r="H177">
        <v>9</v>
      </c>
      <c r="I177" t="str">
        <f>IF($H177&lt;=$C$12,$H177*MIN($C$36,$C$44)+$I165,"")</f>
        <v/>
      </c>
      <c r="J177" t="str">
        <f t="shared" si="285"/>
        <v/>
      </c>
      <c r="K177" t="str">
        <f t="shared" si="286"/>
        <v/>
      </c>
      <c r="L177" t="str">
        <f t="shared" si="287"/>
        <v/>
      </c>
      <c r="M177" t="str">
        <f t="shared" si="288"/>
        <v/>
      </c>
      <c r="N177" t="str">
        <f>IF($H177&lt;=$C$12,$H177*MIN($C$36,$C$45)+$I165,"")</f>
        <v/>
      </c>
      <c r="O177" t="str">
        <f t="shared" si="289"/>
        <v/>
      </c>
      <c r="P177" t="str">
        <f t="shared" si="290"/>
        <v/>
      </c>
      <c r="Q177" t="str">
        <f t="shared" si="291"/>
        <v/>
      </c>
      <c r="R177" t="str">
        <f t="shared" si="292"/>
        <v/>
      </c>
      <c r="S177" t="str">
        <f>IF($H177&lt;=$C$12,$H177*MIN($C$36,$C$46)+$I165,"")</f>
        <v/>
      </c>
      <c r="T177" t="str">
        <f t="shared" si="293"/>
        <v/>
      </c>
      <c r="U177" t="str">
        <f t="shared" si="294"/>
        <v/>
      </c>
      <c r="V177" t="str">
        <f t="shared" si="295"/>
        <v/>
      </c>
      <c r="W177" t="str">
        <f t="shared" si="296"/>
        <v/>
      </c>
      <c r="X177" t="str">
        <f>IF($H177&lt;=$C$12,$H177*MIN($C$36,$C$47)+$I165,"")</f>
        <v/>
      </c>
      <c r="Y177" t="str">
        <f t="shared" si="297"/>
        <v/>
      </c>
      <c r="Z177" t="str">
        <f t="shared" si="298"/>
        <v/>
      </c>
      <c r="AA177" t="str">
        <f t="shared" si="299"/>
        <v/>
      </c>
      <c r="AB177" t="str">
        <f t="shared" si="300"/>
        <v/>
      </c>
      <c r="AC177" t="str">
        <f>IF($H177&lt;=$C$12,$H177*MIN($C$36,$C$44)+$I165,"")</f>
        <v/>
      </c>
      <c r="AD177" t="str">
        <f t="shared" si="301"/>
        <v/>
      </c>
      <c r="AE177" t="str">
        <f t="shared" si="302"/>
        <v/>
      </c>
      <c r="AF177" t="str">
        <f t="shared" si="303"/>
        <v/>
      </c>
      <c r="AG177" t="str">
        <f t="shared" si="304"/>
        <v/>
      </c>
      <c r="AH177" t="str">
        <f>IF($H177&lt;=$C$12,$H177*MIN($C$36,$C$45)+$I165,"")</f>
        <v/>
      </c>
      <c r="AI177" t="str">
        <f t="shared" si="305"/>
        <v/>
      </c>
      <c r="AJ177" t="str">
        <f t="shared" si="306"/>
        <v/>
      </c>
      <c r="AK177" t="str">
        <f t="shared" si="307"/>
        <v/>
      </c>
      <c r="AL177" t="str">
        <f t="shared" si="308"/>
        <v/>
      </c>
      <c r="AM177" t="str">
        <f>IF($H177&lt;=$C$12,$H177*MIN($C$36,$C$46)+$I165,"")</f>
        <v/>
      </c>
      <c r="AN177" t="str">
        <f t="shared" si="309"/>
        <v/>
      </c>
      <c r="AO177" t="str">
        <f t="shared" si="310"/>
        <v/>
      </c>
      <c r="AP177" t="str">
        <f t="shared" si="311"/>
        <v/>
      </c>
      <c r="AQ177" t="str">
        <f t="shared" si="312"/>
        <v/>
      </c>
      <c r="AR177" t="str">
        <f>IF($H177&lt;=$C$12,$H177*MIN($C$36,$C$47)+$I165,"")</f>
        <v/>
      </c>
      <c r="AS177" t="str">
        <f t="shared" si="313"/>
        <v/>
      </c>
      <c r="AT177" t="str">
        <f t="shared" si="314"/>
        <v/>
      </c>
      <c r="AU177" t="str">
        <f t="shared" si="315"/>
        <v/>
      </c>
      <c r="AV177" t="str">
        <f t="shared" si="316"/>
        <v/>
      </c>
    </row>
    <row r="178" spans="8:48" x14ac:dyDescent="0.25">
      <c r="H178">
        <v>10</v>
      </c>
      <c r="I178" t="str">
        <f>IF($H178&lt;=$C$12,$H178*MIN($C$36,$C$44)+$I165,"")</f>
        <v/>
      </c>
      <c r="J178" t="str">
        <f t="shared" si="285"/>
        <v/>
      </c>
      <c r="K178" t="str">
        <f t="shared" si="286"/>
        <v/>
      </c>
      <c r="L178" t="str">
        <f t="shared" si="287"/>
        <v/>
      </c>
      <c r="M178" t="str">
        <f t="shared" si="288"/>
        <v/>
      </c>
      <c r="N178" t="str">
        <f>IF($H178&lt;=$C$12,$H178*MIN($C$36,$C$45)+$I165,"")</f>
        <v/>
      </c>
      <c r="O178" t="str">
        <f t="shared" si="289"/>
        <v/>
      </c>
      <c r="P178" t="str">
        <f t="shared" si="290"/>
        <v/>
      </c>
      <c r="Q178" t="str">
        <f t="shared" si="291"/>
        <v/>
      </c>
      <c r="R178" t="str">
        <f t="shared" si="292"/>
        <v/>
      </c>
      <c r="S178" t="str">
        <f>IF($H178&lt;=$C$12,$H178*MIN($C$36,$C$46)+$I165,"")</f>
        <v/>
      </c>
      <c r="T178" t="str">
        <f t="shared" si="293"/>
        <v/>
      </c>
      <c r="U178" t="str">
        <f t="shared" si="294"/>
        <v/>
      </c>
      <c r="V178" t="str">
        <f t="shared" si="295"/>
        <v/>
      </c>
      <c r="W178" t="str">
        <f t="shared" si="296"/>
        <v/>
      </c>
      <c r="X178" t="str">
        <f>IF($H178&lt;=$C$12,$H178*MIN($C$36,$C$47)+$I165,"")</f>
        <v/>
      </c>
      <c r="Y178" t="str">
        <f t="shared" si="297"/>
        <v/>
      </c>
      <c r="Z178" t="str">
        <f t="shared" si="298"/>
        <v/>
      </c>
      <c r="AA178" t="str">
        <f t="shared" si="299"/>
        <v/>
      </c>
      <c r="AB178" t="str">
        <f t="shared" si="300"/>
        <v/>
      </c>
      <c r="AC178" t="str">
        <f>IF($H178&lt;=$C$12,$H178*MIN($C$36,$C$44)+$I165,"")</f>
        <v/>
      </c>
      <c r="AD178" t="str">
        <f t="shared" si="301"/>
        <v/>
      </c>
      <c r="AE178" t="str">
        <f t="shared" si="302"/>
        <v/>
      </c>
      <c r="AF178" t="str">
        <f t="shared" si="303"/>
        <v/>
      </c>
      <c r="AG178" t="str">
        <f t="shared" si="304"/>
        <v/>
      </c>
      <c r="AH178" t="str">
        <f>IF($H178&lt;=$C$12,$H178*MIN($C$36,$C$45)+$I165,"")</f>
        <v/>
      </c>
      <c r="AI178" t="str">
        <f t="shared" si="305"/>
        <v/>
      </c>
      <c r="AJ178" t="str">
        <f t="shared" si="306"/>
        <v/>
      </c>
      <c r="AK178" t="str">
        <f t="shared" si="307"/>
        <v/>
      </c>
      <c r="AL178" t="str">
        <f t="shared" si="308"/>
        <v/>
      </c>
      <c r="AM178" t="str">
        <f>IF($H178&lt;=$C$12,$H178*MIN($C$36,$C$46)+$I165,"")</f>
        <v/>
      </c>
      <c r="AN178" t="str">
        <f t="shared" si="309"/>
        <v/>
      </c>
      <c r="AO178" t="str">
        <f t="shared" si="310"/>
        <v/>
      </c>
      <c r="AP178" t="str">
        <f t="shared" si="311"/>
        <v/>
      </c>
      <c r="AQ178" t="str">
        <f t="shared" si="312"/>
        <v/>
      </c>
      <c r="AR178" t="str">
        <f>IF($H178&lt;=$C$12,$H178*MIN($C$36,$C$47)+$I165,"")</f>
        <v/>
      </c>
      <c r="AS178" t="str">
        <f t="shared" si="313"/>
        <v/>
      </c>
      <c r="AT178" t="str">
        <f t="shared" si="314"/>
        <v/>
      </c>
      <c r="AU178" t="str">
        <f t="shared" si="315"/>
        <v/>
      </c>
      <c r="AV178" t="str">
        <f t="shared" si="316"/>
        <v/>
      </c>
    </row>
  </sheetData>
  <mergeCells count="58">
    <mergeCell ref="M2:P2"/>
    <mergeCell ref="I2:L2"/>
    <mergeCell ref="AC33:AG33"/>
    <mergeCell ref="AH33:AL33"/>
    <mergeCell ref="AM33:AQ33"/>
    <mergeCell ref="AR33:AV33"/>
    <mergeCell ref="I33:M33"/>
    <mergeCell ref="N33:R33"/>
    <mergeCell ref="S33:W33"/>
    <mergeCell ref="X33:AB33"/>
    <mergeCell ref="AH48:AL48"/>
    <mergeCell ref="AM48:AQ48"/>
    <mergeCell ref="AR48:AV48"/>
    <mergeCell ref="I48:M48"/>
    <mergeCell ref="N48:R48"/>
    <mergeCell ref="S48:W48"/>
    <mergeCell ref="X48:AB48"/>
    <mergeCell ref="AC48:AG48"/>
    <mergeCell ref="AH102:AL102"/>
    <mergeCell ref="AM102:AQ102"/>
    <mergeCell ref="AR102:AV102"/>
    <mergeCell ref="I118:M118"/>
    <mergeCell ref="N118:R118"/>
    <mergeCell ref="S118:W118"/>
    <mergeCell ref="X118:AB118"/>
    <mergeCell ref="AC118:AG118"/>
    <mergeCell ref="AH118:AL118"/>
    <mergeCell ref="AM118:AQ118"/>
    <mergeCell ref="AR118:AV118"/>
    <mergeCell ref="I102:M102"/>
    <mergeCell ref="N102:R102"/>
    <mergeCell ref="S102:W102"/>
    <mergeCell ref="X102:AB102"/>
    <mergeCell ref="AC102:AG102"/>
    <mergeCell ref="AH134:AL134"/>
    <mergeCell ref="AM134:AQ134"/>
    <mergeCell ref="AR134:AV134"/>
    <mergeCell ref="I150:M150"/>
    <mergeCell ref="N150:R150"/>
    <mergeCell ref="S150:W150"/>
    <mergeCell ref="X150:AB150"/>
    <mergeCell ref="AC150:AG150"/>
    <mergeCell ref="AH150:AL150"/>
    <mergeCell ref="AM150:AQ150"/>
    <mergeCell ref="AR150:AV150"/>
    <mergeCell ref="I134:M134"/>
    <mergeCell ref="N134:R134"/>
    <mergeCell ref="S134:W134"/>
    <mergeCell ref="X134:AB134"/>
    <mergeCell ref="AC134:AG134"/>
    <mergeCell ref="AH166:AL166"/>
    <mergeCell ref="AM166:AQ166"/>
    <mergeCell ref="AR166:AV166"/>
    <mergeCell ref="I166:M166"/>
    <mergeCell ref="N166:R166"/>
    <mergeCell ref="S166:W166"/>
    <mergeCell ref="X166:AB166"/>
    <mergeCell ref="AC166:AG166"/>
  </mergeCells>
  <conditionalFormatting sqref="R2">
    <cfRule type="cellIs" dxfId="0" priority="2" operator="between">
      <formula>$C$15</formula>
      <formula>$C$20</formula>
    </cfRule>
  </conditionalFormatting>
  <pageMargins left="0.7" right="0.7" top="0.75" bottom="0.75" header="0.3" footer="0.3"/>
  <pageSetup scale="45" fitToWidth="0" orientation="landscape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12</vt:i4>
      </vt:variant>
    </vt:vector>
  </HeadingPairs>
  <TitlesOfParts>
    <vt:vector size="15" baseType="lpstr">
      <vt:lpstr>Sheet1</vt:lpstr>
      <vt:lpstr>Sheet2</vt:lpstr>
      <vt:lpstr>Sheet3</vt:lpstr>
      <vt:lpstr>c_x_1</vt:lpstr>
      <vt:lpstr>c_x_2</vt:lpstr>
      <vt:lpstr>c_y_1</vt:lpstr>
      <vt:lpstr>c_y_2</vt:lpstr>
      <vt:lpstr>e_x_1</vt:lpstr>
      <vt:lpstr>e_x_2</vt:lpstr>
      <vt:lpstr>e_z_1</vt:lpstr>
      <vt:lpstr>e_z_2</vt:lpstr>
      <vt:lpstr>r_x_1</vt:lpstr>
      <vt:lpstr>r_x_2</vt:lpstr>
      <vt:lpstr>r_z_1</vt:lpstr>
      <vt:lpstr>r_z_2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Parker</dc:creator>
  <cp:lastModifiedBy>PG</cp:lastModifiedBy>
  <cp:lastPrinted>2016-03-30T15:26:11Z</cp:lastPrinted>
  <dcterms:created xsi:type="dcterms:W3CDTF">2016-03-11T19:37:37Z</dcterms:created>
  <dcterms:modified xsi:type="dcterms:W3CDTF">2016-05-14T23:09:50Z</dcterms:modified>
</cp:coreProperties>
</file>